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C INFORMATION\Decision records\2016\"/>
    </mc:Choice>
  </mc:AlternateContent>
  <bookViews>
    <workbookView xWindow="0" yWindow="0" windowWidth="23310" windowHeight="10155"/>
  </bookViews>
  <sheets>
    <sheet name="Appendix C" sheetId="1" r:id="rId1"/>
  </sheets>
  <externalReferences>
    <externalReference r:id="rId2"/>
  </externalReferences>
  <definedNames>
    <definedName name="_xlnm._FilterDatabase" localSheetId="0" hidden="1">'Appendix C'!$AC$75:$AL$92</definedName>
    <definedName name="bvrevprint">[1]RevAccount!$C$2:$H$54</definedName>
    <definedName name="CapFinGr">#REF!</definedName>
    <definedName name="CapGrant">#REF!</definedName>
    <definedName name="cflowprint">#REF!</definedName>
    <definedName name="Grant">#REF!</definedName>
    <definedName name="NNDR">#REF!</definedName>
    <definedName name="Precept">#REF!</definedName>
    <definedName name="_xlnm.Print_Area" localSheetId="0">'Appendix C'!$AH$1:$BJ$121</definedName>
    <definedName name="_xlnm.Print_Titles" localSheetId="0">'Appendix C'!$D:$D</definedName>
    <definedName name="print1">#REF!</definedName>
    <definedName name="Rate">#REF!</definedName>
    <definedName name="RSG">#REF!</definedName>
  </definedNames>
  <calcPr calcId="152511"/>
</workbook>
</file>

<file path=xl/calcChain.xml><?xml version="1.0" encoding="utf-8"?>
<calcChain xmlns="http://schemas.openxmlformats.org/spreadsheetml/2006/main">
  <c r="AN206" i="1" l="1"/>
  <c r="AN175" i="1" s="1"/>
  <c r="AJ206" i="1"/>
  <c r="AJ175" i="1" s="1"/>
  <c r="AI206" i="1"/>
  <c r="AI175" i="1" s="1"/>
  <c r="AK175" i="1" s="1"/>
  <c r="AE206" i="1"/>
  <c r="AA206" i="1"/>
  <c r="AA175" i="1" s="1"/>
  <c r="Z206" i="1"/>
  <c r="V206" i="1"/>
  <c r="V175" i="1" s="1"/>
  <c r="U206" i="1"/>
  <c r="M206" i="1"/>
  <c r="L206" i="1"/>
  <c r="H206" i="1"/>
  <c r="H175" i="1" s="1"/>
  <c r="J175" i="1" s="1"/>
  <c r="G206" i="1"/>
  <c r="BH199" i="1"/>
  <c r="BH176" i="1" s="1"/>
  <c r="BG199" i="1"/>
  <c r="BG176" i="1" s="1"/>
  <c r="BD199" i="1"/>
  <c r="BD176" i="1" s="1"/>
  <c r="BC199" i="1"/>
  <c r="AZ199" i="1"/>
  <c r="AY199" i="1"/>
  <c r="AY176" i="1" s="1"/>
  <c r="BA176" i="1" s="1"/>
  <c r="AV199" i="1"/>
  <c r="AV176" i="1" s="1"/>
  <c r="AU199" i="1"/>
  <c r="AU176" i="1" s="1"/>
  <c r="AR199" i="1"/>
  <c r="AR176" i="1" s="1"/>
  <c r="AQ199" i="1"/>
  <c r="AN199" i="1"/>
  <c r="AN176" i="1" s="1"/>
  <c r="AM199" i="1"/>
  <c r="AJ199" i="1"/>
  <c r="AJ176" i="1" s="1"/>
  <c r="AI199" i="1"/>
  <c r="AI176" i="1" s="1"/>
  <c r="AK176" i="1" s="1"/>
  <c r="AF199" i="1"/>
  <c r="AF176" i="1" s="1"/>
  <c r="AE199" i="1"/>
  <c r="AA199" i="1"/>
  <c r="AA176" i="1" s="1"/>
  <c r="Z199" i="1"/>
  <c r="Z176" i="1" s="1"/>
  <c r="V199" i="1"/>
  <c r="V176" i="1" s="1"/>
  <c r="R199" i="1"/>
  <c r="R176" i="1" s="1"/>
  <c r="Q199" i="1"/>
  <c r="Q176" i="1" s="1"/>
  <c r="M199" i="1"/>
  <c r="M176" i="1" s="1"/>
  <c r="H199" i="1"/>
  <c r="H176" i="1" s="1"/>
  <c r="Z191" i="1"/>
  <c r="U191" i="1"/>
  <c r="U199" i="1" s="1"/>
  <c r="U176" i="1" s="1"/>
  <c r="L191" i="1"/>
  <c r="L199" i="1" s="1"/>
  <c r="L176" i="1" s="1"/>
  <c r="G191" i="1"/>
  <c r="G199" i="1" s="1"/>
  <c r="G176" i="1" s="1"/>
  <c r="J176" i="1" s="1"/>
  <c r="AH179" i="1"/>
  <c r="AB179" i="1"/>
  <c r="W179" i="1"/>
  <c r="N179" i="1"/>
  <c r="I179" i="1"/>
  <c r="BI178" i="1"/>
  <c r="BE178" i="1"/>
  <c r="BA178" i="1"/>
  <c r="AW178" i="1"/>
  <c r="AS178" i="1"/>
  <c r="AO178" i="1"/>
  <c r="AK178" i="1"/>
  <c r="BI177" i="1"/>
  <c r="BE177" i="1"/>
  <c r="BA177" i="1"/>
  <c r="AW177" i="1"/>
  <c r="AS177" i="1"/>
  <c r="AO177" i="1"/>
  <c r="AK177" i="1"/>
  <c r="BC176" i="1"/>
  <c r="AZ176" i="1"/>
  <c r="AQ176" i="1"/>
  <c r="AM176" i="1"/>
  <c r="AE176" i="1"/>
  <c r="AD176" i="1"/>
  <c r="BG175" i="1"/>
  <c r="BC175" i="1"/>
  <c r="AY175" i="1"/>
  <c r="AU175" i="1"/>
  <c r="AU179" i="1" s="1"/>
  <c r="AQ175" i="1"/>
  <c r="AM175" i="1"/>
  <c r="AG175" i="1"/>
  <c r="AG179" i="1" s="1"/>
  <c r="AE175" i="1"/>
  <c r="S175" i="1"/>
  <c r="S179" i="1" s="1"/>
  <c r="M175" i="1"/>
  <c r="P175" i="1" s="1"/>
  <c r="BI174" i="1"/>
  <c r="BE174" i="1"/>
  <c r="BA174" i="1"/>
  <c r="AW174" i="1"/>
  <c r="AS174" i="1"/>
  <c r="AO174" i="1"/>
  <c r="AK174" i="1"/>
  <c r="BI173" i="1"/>
  <c r="BE173" i="1"/>
  <c r="BA173" i="1"/>
  <c r="AW173" i="1"/>
  <c r="AS173" i="1"/>
  <c r="AO173" i="1"/>
  <c r="AK173" i="1"/>
  <c r="AD173" i="1"/>
  <c r="X173" i="1"/>
  <c r="P173" i="1"/>
  <c r="J173" i="1"/>
  <c r="BI172" i="1"/>
  <c r="BE172" i="1"/>
  <c r="BA172" i="1"/>
  <c r="AW172" i="1"/>
  <c r="AS172" i="1"/>
  <c r="AO172" i="1"/>
  <c r="AK172" i="1"/>
  <c r="BI171" i="1"/>
  <c r="BE171" i="1"/>
  <c r="BA171" i="1"/>
  <c r="AW171" i="1"/>
  <c r="AS171" i="1"/>
  <c r="AO171" i="1"/>
  <c r="AK171" i="1"/>
  <c r="AD171" i="1"/>
  <c r="Z171" i="1"/>
  <c r="X171" i="1"/>
  <c r="U171" i="1"/>
  <c r="L171" i="1"/>
  <c r="P171" i="1" s="1"/>
  <c r="G171" i="1"/>
  <c r="BI170" i="1"/>
  <c r="BE170" i="1"/>
  <c r="BA170" i="1"/>
  <c r="AW170" i="1"/>
  <c r="AS170" i="1"/>
  <c r="AO170" i="1"/>
  <c r="AK170" i="1"/>
  <c r="AE170" i="1"/>
  <c r="R170" i="1"/>
  <c r="BH169" i="1"/>
  <c r="BI169" i="1" s="1"/>
  <c r="BD169" i="1"/>
  <c r="BE169" i="1" s="1"/>
  <c r="AZ169" i="1"/>
  <c r="BA169" i="1" s="1"/>
  <c r="AV169" i="1"/>
  <c r="AW169" i="1" s="1"/>
  <c r="AS169" i="1"/>
  <c r="AO169" i="1"/>
  <c r="AK169" i="1"/>
  <c r="AA169" i="1"/>
  <c r="V169" i="1"/>
  <c r="R169" i="1"/>
  <c r="M169" i="1"/>
  <c r="H169" i="1"/>
  <c r="BI168" i="1"/>
  <c r="BE168" i="1"/>
  <c r="BA168" i="1"/>
  <c r="AW168" i="1"/>
  <c r="AR168" i="1"/>
  <c r="AS168" i="1" s="1"/>
  <c r="AN168" i="1"/>
  <c r="AO168" i="1" s="1"/>
  <c r="AJ168" i="1"/>
  <c r="AA168" i="1"/>
  <c r="V168" i="1"/>
  <c r="X169" i="1" s="1"/>
  <c r="M168" i="1"/>
  <c r="H168" i="1"/>
  <c r="BG167" i="1"/>
  <c r="BE167" i="1"/>
  <c r="BA167" i="1"/>
  <c r="AW167" i="1"/>
  <c r="AS167" i="1"/>
  <c r="AO167" i="1"/>
  <c r="AK167" i="1"/>
  <c r="AD167" i="1"/>
  <c r="X167" i="1"/>
  <c r="P167" i="1"/>
  <c r="J167" i="1"/>
  <c r="BJ165" i="1"/>
  <c r="BF165" i="1"/>
  <c r="BB165" i="1"/>
  <c r="AX165" i="1"/>
  <c r="AT165" i="1"/>
  <c r="AP165" i="1"/>
  <c r="AH165" i="1"/>
  <c r="AD165" i="1"/>
  <c r="X165" i="1"/>
  <c r="P165" i="1"/>
  <c r="J165" i="1"/>
  <c r="BH163" i="1"/>
  <c r="BG163" i="1"/>
  <c r="BI163" i="1" s="1"/>
  <c r="BD163" i="1"/>
  <c r="BC163" i="1"/>
  <c r="AY163" i="1"/>
  <c r="AU163" i="1"/>
  <c r="AQ163" i="1"/>
  <c r="AM163" i="1"/>
  <c r="AJ163" i="1"/>
  <c r="AI163" i="1"/>
  <c r="AK163" i="1" s="1"/>
  <c r="Z163" i="1"/>
  <c r="AB163" i="1" s="1"/>
  <c r="U163" i="1"/>
  <c r="W163" i="1" s="1"/>
  <c r="G163" i="1"/>
  <c r="I163" i="1" s="1"/>
  <c r="BG162" i="1"/>
  <c r="BI162" i="1" s="1"/>
  <c r="BC162" i="1"/>
  <c r="BE162" i="1" s="1"/>
  <c r="BA162" i="1"/>
  <c r="AY162" i="1"/>
  <c r="AU162" i="1"/>
  <c r="AW162" i="1" s="1"/>
  <c r="AQ162" i="1"/>
  <c r="AS162" i="1" s="1"/>
  <c r="AM162" i="1"/>
  <c r="AO162" i="1" s="1"/>
  <c r="AI162" i="1"/>
  <c r="AK162" i="1" s="1"/>
  <c r="AE162" i="1"/>
  <c r="AG162" i="1" s="1"/>
  <c r="Z162" i="1"/>
  <c r="AB162" i="1" s="1"/>
  <c r="U162" i="1"/>
  <c r="W162" i="1" s="1"/>
  <c r="S162" i="1"/>
  <c r="Q162" i="1"/>
  <c r="L162" i="1"/>
  <c r="N162" i="1" s="1"/>
  <c r="G162" i="1"/>
  <c r="I162" i="1" s="1"/>
  <c r="BG161" i="1"/>
  <c r="BI161" i="1" s="1"/>
  <c r="BC161" i="1"/>
  <c r="BE161" i="1" s="1"/>
  <c r="AY161" i="1"/>
  <c r="BA161" i="1" s="1"/>
  <c r="AU161" i="1"/>
  <c r="AW161" i="1" s="1"/>
  <c r="AQ161" i="1"/>
  <c r="AS161" i="1" s="1"/>
  <c r="AM161" i="1"/>
  <c r="AO161" i="1" s="1"/>
  <c r="AI161" i="1"/>
  <c r="AK161" i="1" s="1"/>
  <c r="AE161" i="1"/>
  <c r="AG161" i="1" s="1"/>
  <c r="Z161" i="1"/>
  <c r="AB161" i="1" s="1"/>
  <c r="U161" i="1"/>
  <c r="W161" i="1" s="1"/>
  <c r="Q161" i="1"/>
  <c r="S161" i="1" s="1"/>
  <c r="L161" i="1"/>
  <c r="N161" i="1" s="1"/>
  <c r="G161" i="1"/>
  <c r="I161" i="1" s="1"/>
  <c r="BH158" i="1"/>
  <c r="BD158" i="1"/>
  <c r="AZ158" i="1"/>
  <c r="AV158" i="1"/>
  <c r="AR158" i="1"/>
  <c r="AN158" i="1"/>
  <c r="AJ158" i="1"/>
  <c r="AA158" i="1"/>
  <c r="Z158" i="1"/>
  <c r="AB158" i="1" s="1"/>
  <c r="U158" i="1"/>
  <c r="W158" i="1" s="1"/>
  <c r="R158" i="1"/>
  <c r="Q158" i="1"/>
  <c r="S158" i="1" s="1"/>
  <c r="M158" i="1"/>
  <c r="L158" i="1"/>
  <c r="N158" i="1" s="1"/>
  <c r="AQ157" i="1"/>
  <c r="Z157" i="1"/>
  <c r="U157" i="1"/>
  <c r="L157" i="1"/>
  <c r="G157" i="1"/>
  <c r="I157" i="1" s="1"/>
  <c r="BJ152" i="1"/>
  <c r="BI152" i="1"/>
  <c r="BF152" i="1"/>
  <c r="BE152" i="1"/>
  <c r="BB152" i="1"/>
  <c r="BA152" i="1"/>
  <c r="AX152" i="1"/>
  <c r="AW152" i="1"/>
  <c r="AT152" i="1"/>
  <c r="AS152" i="1"/>
  <c r="AP152" i="1"/>
  <c r="AO152" i="1"/>
  <c r="AL152" i="1"/>
  <c r="AK152" i="1"/>
  <c r="AH152" i="1"/>
  <c r="AG152" i="1"/>
  <c r="AD152" i="1"/>
  <c r="AB152" i="1"/>
  <c r="X152" i="1"/>
  <c r="W152" i="1"/>
  <c r="S152" i="1"/>
  <c r="P152" i="1"/>
  <c r="N152" i="1"/>
  <c r="J152" i="1"/>
  <c r="I152" i="1"/>
  <c r="BH150" i="1"/>
  <c r="BG150" i="1"/>
  <c r="BD150" i="1"/>
  <c r="BC150" i="1"/>
  <c r="AY150" i="1"/>
  <c r="AU150" i="1"/>
  <c r="AQ150" i="1"/>
  <c r="AM150" i="1"/>
  <c r="AJ150" i="1"/>
  <c r="AI150" i="1"/>
  <c r="AI148" i="1"/>
  <c r="Z148" i="1"/>
  <c r="U148" i="1"/>
  <c r="Q148" i="1"/>
  <c r="L148" i="1"/>
  <c r="G148" i="1"/>
  <c r="AQ146" i="1"/>
  <c r="Z143" i="1"/>
  <c r="Z152" i="1" s="1"/>
  <c r="Z154" i="1" s="1"/>
  <c r="X139" i="1"/>
  <c r="P139" i="1"/>
  <c r="AD139" i="1" s="1"/>
  <c r="AH139" i="1" s="1"/>
  <c r="AL139" i="1" s="1"/>
  <c r="AP139" i="1" s="1"/>
  <c r="AT139" i="1" s="1"/>
  <c r="AX139" i="1" s="1"/>
  <c r="BB139" i="1" s="1"/>
  <c r="BF139" i="1" s="1"/>
  <c r="BJ139" i="1" s="1"/>
  <c r="J139" i="1"/>
  <c r="X138" i="1"/>
  <c r="P138" i="1"/>
  <c r="AD138" i="1" s="1"/>
  <c r="AH138" i="1" s="1"/>
  <c r="AL138" i="1" s="1"/>
  <c r="AP138" i="1" s="1"/>
  <c r="AT138" i="1" s="1"/>
  <c r="AX138" i="1" s="1"/>
  <c r="BB138" i="1" s="1"/>
  <c r="BF138" i="1" s="1"/>
  <c r="BJ138" i="1" s="1"/>
  <c r="J138" i="1"/>
  <c r="X137" i="1"/>
  <c r="P137" i="1"/>
  <c r="AD137" i="1" s="1"/>
  <c r="AH137" i="1" s="1"/>
  <c r="AL137" i="1" s="1"/>
  <c r="AP137" i="1" s="1"/>
  <c r="AT137" i="1" s="1"/>
  <c r="AX137" i="1" s="1"/>
  <c r="BB137" i="1" s="1"/>
  <c r="BF137" i="1" s="1"/>
  <c r="BJ137" i="1" s="1"/>
  <c r="J137" i="1"/>
  <c r="X136" i="1"/>
  <c r="P136" i="1"/>
  <c r="AD136" i="1" s="1"/>
  <c r="AH136" i="1" s="1"/>
  <c r="AL136" i="1" s="1"/>
  <c r="AP136" i="1" s="1"/>
  <c r="AT136" i="1" s="1"/>
  <c r="AX136" i="1" s="1"/>
  <c r="BB136" i="1" s="1"/>
  <c r="BF136" i="1" s="1"/>
  <c r="BJ136" i="1" s="1"/>
  <c r="J136" i="1"/>
  <c r="X128" i="1"/>
  <c r="P128" i="1"/>
  <c r="AD128" i="1" s="1"/>
  <c r="AH128" i="1" s="1"/>
  <c r="AL128" i="1" s="1"/>
  <c r="AP128" i="1" s="1"/>
  <c r="AT128" i="1" s="1"/>
  <c r="AX128" i="1" s="1"/>
  <c r="BB128" i="1" s="1"/>
  <c r="BF128" i="1" s="1"/>
  <c r="BJ128" i="1" s="1"/>
  <c r="J128" i="1"/>
  <c r="AB120" i="1"/>
  <c r="AA120" i="1"/>
  <c r="Z120" i="1"/>
  <c r="Y120" i="1"/>
  <c r="W120" i="1"/>
  <c r="V120" i="1"/>
  <c r="U120" i="1"/>
  <c r="T120" i="1"/>
  <c r="S120" i="1"/>
  <c r="R120" i="1"/>
  <c r="Q120" i="1"/>
  <c r="P120" i="1"/>
  <c r="N120" i="1"/>
  <c r="M120" i="1"/>
  <c r="L120" i="1"/>
  <c r="K120" i="1"/>
  <c r="I120" i="1"/>
  <c r="H120" i="1"/>
  <c r="G120" i="1"/>
  <c r="F120" i="1"/>
  <c r="BI119" i="1"/>
  <c r="BH119" i="1"/>
  <c r="BG119" i="1"/>
  <c r="BE119" i="1"/>
  <c r="BC119" i="1"/>
  <c r="BA119" i="1"/>
  <c r="AZ119" i="1"/>
  <c r="AY119" i="1"/>
  <c r="AW119" i="1"/>
  <c r="AU119" i="1"/>
  <c r="AS119" i="1"/>
  <c r="AQ119" i="1"/>
  <c r="AO119" i="1"/>
  <c r="AN119" i="1"/>
  <c r="AM119" i="1"/>
  <c r="AK119" i="1"/>
  <c r="AJ119" i="1"/>
  <c r="AI119" i="1"/>
  <c r="AG119" i="1"/>
  <c r="AF119" i="1"/>
  <c r="AD119" i="1"/>
  <c r="AC119" i="1"/>
  <c r="U119" i="1"/>
  <c r="AE119" i="1" s="1"/>
  <c r="O119" i="1"/>
  <c r="J119" i="1"/>
  <c r="AB118" i="1"/>
  <c r="AA118" i="1"/>
  <c r="Z118" i="1"/>
  <c r="Y118" i="1"/>
  <c r="W118" i="1"/>
  <c r="V118" i="1"/>
  <c r="U118" i="1"/>
  <c r="T118" i="1"/>
  <c r="S118" i="1"/>
  <c r="R118" i="1"/>
  <c r="Q118" i="1"/>
  <c r="P118" i="1"/>
  <c r="N118" i="1"/>
  <c r="M118" i="1"/>
  <c r="L118" i="1"/>
  <c r="K118" i="1"/>
  <c r="I118" i="1"/>
  <c r="H118" i="1"/>
  <c r="G118" i="1"/>
  <c r="F118" i="1"/>
  <c r="AB116" i="1"/>
  <c r="AA116" i="1"/>
  <c r="Z116" i="1"/>
  <c r="U116" i="1"/>
  <c r="P116" i="1"/>
  <c r="M116" i="1"/>
  <c r="L116" i="1"/>
  <c r="K116" i="1"/>
  <c r="H116" i="1"/>
  <c r="G116" i="1"/>
  <c r="F116" i="1"/>
  <c r="AL114" i="1"/>
  <c r="AP114" i="1" s="1"/>
  <c r="AT114" i="1" s="1"/>
  <c r="AX114" i="1" s="1"/>
  <c r="BB114" i="1" s="1"/>
  <c r="BF114" i="1" s="1"/>
  <c r="BJ114" i="1" s="1"/>
  <c r="AG114" i="1"/>
  <c r="AF114" i="1"/>
  <c r="AD114" i="1"/>
  <c r="AC114" i="1"/>
  <c r="X114" i="1"/>
  <c r="U114" i="1"/>
  <c r="AE114" i="1" s="1"/>
  <c r="O114" i="1"/>
  <c r="J114" i="1"/>
  <c r="AC112" i="1"/>
  <c r="AB112" i="1"/>
  <c r="AA112" i="1"/>
  <c r="Z112" i="1"/>
  <c r="Y112" i="1"/>
  <c r="W112" i="1"/>
  <c r="V112" i="1"/>
  <c r="U112" i="1"/>
  <c r="T112" i="1"/>
  <c r="S112" i="1"/>
  <c r="R112" i="1"/>
  <c r="Q112" i="1"/>
  <c r="P112" i="1"/>
  <c r="N112" i="1"/>
  <c r="M112" i="1"/>
  <c r="L112" i="1"/>
  <c r="K112" i="1"/>
  <c r="I112" i="1"/>
  <c r="H112" i="1"/>
  <c r="G112" i="1"/>
  <c r="F112" i="1"/>
  <c r="BD110" i="1"/>
  <c r="BD119" i="1" s="1"/>
  <c r="AV110" i="1"/>
  <c r="AV119" i="1" s="1"/>
  <c r="AR110" i="1"/>
  <c r="AR119" i="1" s="1"/>
  <c r="AG110" i="1"/>
  <c r="AF110" i="1"/>
  <c r="AD110" i="1"/>
  <c r="AC110" i="1"/>
  <c r="U110" i="1"/>
  <c r="O110" i="1"/>
  <c r="J110" i="1"/>
  <c r="BI103" i="1"/>
  <c r="BH103" i="1"/>
  <c r="BG103" i="1"/>
  <c r="BE103" i="1"/>
  <c r="BD103" i="1"/>
  <c r="BC103" i="1"/>
  <c r="BA103" i="1"/>
  <c r="AZ103" i="1"/>
  <c r="AY103" i="1"/>
  <c r="AY160" i="1" s="1"/>
  <c r="AW103" i="1"/>
  <c r="AV103" i="1"/>
  <c r="AU103" i="1"/>
  <c r="AS103" i="1"/>
  <c r="AR103" i="1"/>
  <c r="AQ103" i="1"/>
  <c r="AO103" i="1"/>
  <c r="AN103" i="1"/>
  <c r="AM103" i="1"/>
  <c r="AK103" i="1"/>
  <c r="AJ103" i="1"/>
  <c r="AI103" i="1"/>
  <c r="AB103" i="1"/>
  <c r="AA103" i="1"/>
  <c r="Z103" i="1"/>
  <c r="Y103" i="1"/>
  <c r="T103" i="1"/>
  <c r="S103" i="1"/>
  <c r="P103" i="1"/>
  <c r="N103" i="1"/>
  <c r="M103" i="1"/>
  <c r="K103" i="1"/>
  <c r="I103" i="1"/>
  <c r="F103" i="1"/>
  <c r="AG101" i="1"/>
  <c r="AF101" i="1"/>
  <c r="AE101" i="1"/>
  <c r="AC101" i="1"/>
  <c r="V101" i="1"/>
  <c r="X101" i="1" s="1"/>
  <c r="R101" i="1"/>
  <c r="R103" i="1" s="1"/>
  <c r="Q101" i="1"/>
  <c r="Q103" i="1" s="1"/>
  <c r="L101" i="1"/>
  <c r="O101" i="1" s="1"/>
  <c r="H101" i="1"/>
  <c r="H103" i="1" s="1"/>
  <c r="G101" i="1"/>
  <c r="AF100" i="1"/>
  <c r="W100" i="1"/>
  <c r="V100" i="1"/>
  <c r="U100" i="1"/>
  <c r="AG99" i="1"/>
  <c r="AF99" i="1"/>
  <c r="AE99" i="1"/>
  <c r="AD99" i="1"/>
  <c r="AC99" i="1"/>
  <c r="AC103" i="1" s="1"/>
  <c r="X99" i="1"/>
  <c r="W99" i="1"/>
  <c r="O99" i="1"/>
  <c r="J99" i="1"/>
  <c r="AG98" i="1"/>
  <c r="AE98" i="1"/>
  <c r="AC98" i="1"/>
  <c r="V98" i="1"/>
  <c r="O98" i="1"/>
  <c r="G98" i="1"/>
  <c r="BI94" i="1"/>
  <c r="BH94" i="1"/>
  <c r="BG94" i="1"/>
  <c r="BE94" i="1"/>
  <c r="BD94" i="1"/>
  <c r="BC94" i="1"/>
  <c r="BA94" i="1"/>
  <c r="AZ94" i="1"/>
  <c r="AY94" i="1"/>
  <c r="AW94" i="1"/>
  <c r="AV94" i="1"/>
  <c r="AV160" i="1" s="1"/>
  <c r="AU94" i="1"/>
  <c r="AS94" i="1"/>
  <c r="AR94" i="1"/>
  <c r="AQ94" i="1"/>
  <c r="AM94" i="1"/>
  <c r="AK94" i="1"/>
  <c r="AJ94" i="1"/>
  <c r="AB94" i="1"/>
  <c r="Z94" i="1"/>
  <c r="Z160" i="1" s="1"/>
  <c r="Y94" i="1"/>
  <c r="W94" i="1"/>
  <c r="T94" i="1"/>
  <c r="P94" i="1"/>
  <c r="N94" i="1"/>
  <c r="M94" i="1"/>
  <c r="K94" i="1"/>
  <c r="F94" i="1"/>
  <c r="AT92" i="1"/>
  <c r="AX92" i="1" s="1"/>
  <c r="BB92" i="1" s="1"/>
  <c r="BF92" i="1" s="1"/>
  <c r="BJ92" i="1" s="1"/>
  <c r="AD92" i="1"/>
  <c r="AH92" i="1" s="1"/>
  <c r="AL92" i="1" s="1"/>
  <c r="AP92" i="1" s="1"/>
  <c r="AC92" i="1"/>
  <c r="X92" i="1"/>
  <c r="O92" i="1"/>
  <c r="J92" i="1"/>
  <c r="AF91" i="1"/>
  <c r="AE91" i="1"/>
  <c r="AC91" i="1"/>
  <c r="W91" i="1"/>
  <c r="X91" i="1" s="1"/>
  <c r="N91" i="1"/>
  <c r="O91" i="1" s="1"/>
  <c r="I91" i="1"/>
  <c r="AG90" i="1"/>
  <c r="AE90" i="1"/>
  <c r="W90" i="1"/>
  <c r="V90" i="1"/>
  <c r="AF90" i="1" s="1"/>
  <c r="AH89" i="1"/>
  <c r="AL89" i="1" s="1"/>
  <c r="AP89" i="1" s="1"/>
  <c r="AT89" i="1" s="1"/>
  <c r="AX89" i="1" s="1"/>
  <c r="BB89" i="1" s="1"/>
  <c r="BF89" i="1" s="1"/>
  <c r="BJ89" i="1" s="1"/>
  <c r="AD89" i="1"/>
  <c r="AC89" i="1"/>
  <c r="X89" i="1"/>
  <c r="O89" i="1"/>
  <c r="J89" i="1"/>
  <c r="AD88" i="1"/>
  <c r="AH88" i="1" s="1"/>
  <c r="AL88" i="1" s="1"/>
  <c r="AP88" i="1" s="1"/>
  <c r="AT88" i="1" s="1"/>
  <c r="AX88" i="1" s="1"/>
  <c r="BB88" i="1" s="1"/>
  <c r="BF88" i="1" s="1"/>
  <c r="BJ88" i="1" s="1"/>
  <c r="AC88" i="1"/>
  <c r="X88" i="1"/>
  <c r="O88" i="1"/>
  <c r="J88" i="1"/>
  <c r="AH87" i="1"/>
  <c r="AL87" i="1" s="1"/>
  <c r="AP87" i="1" s="1"/>
  <c r="AT87" i="1" s="1"/>
  <c r="AX87" i="1" s="1"/>
  <c r="BB87" i="1" s="1"/>
  <c r="BF87" i="1" s="1"/>
  <c r="BJ87" i="1" s="1"/>
  <c r="AD87" i="1"/>
  <c r="AC87" i="1"/>
  <c r="X87" i="1"/>
  <c r="O87" i="1"/>
  <c r="J87" i="1"/>
  <c r="AD86" i="1"/>
  <c r="AH86" i="1" s="1"/>
  <c r="AL86" i="1" s="1"/>
  <c r="AP86" i="1" s="1"/>
  <c r="AT86" i="1" s="1"/>
  <c r="AX86" i="1" s="1"/>
  <c r="BB86" i="1" s="1"/>
  <c r="BF86" i="1" s="1"/>
  <c r="BJ86" i="1" s="1"/>
  <c r="AC86" i="1"/>
  <c r="X86" i="1"/>
  <c r="O86" i="1"/>
  <c r="J86" i="1"/>
  <c r="AD85" i="1"/>
  <c r="AH85" i="1" s="1"/>
  <c r="AL85" i="1" s="1"/>
  <c r="AP85" i="1" s="1"/>
  <c r="AT85" i="1" s="1"/>
  <c r="AX85" i="1" s="1"/>
  <c r="BB85" i="1" s="1"/>
  <c r="BF85" i="1" s="1"/>
  <c r="BJ85" i="1" s="1"/>
  <c r="AC85" i="1"/>
  <c r="X85" i="1"/>
  <c r="O85" i="1"/>
  <c r="J85" i="1"/>
  <c r="AD84" i="1"/>
  <c r="AH84" i="1" s="1"/>
  <c r="AL84" i="1" s="1"/>
  <c r="AP84" i="1" s="1"/>
  <c r="AT84" i="1" s="1"/>
  <c r="AX84" i="1" s="1"/>
  <c r="BB84" i="1" s="1"/>
  <c r="BF84" i="1" s="1"/>
  <c r="BJ84" i="1" s="1"/>
  <c r="AC84" i="1"/>
  <c r="X84" i="1"/>
  <c r="O84" i="1"/>
  <c r="J84" i="1"/>
  <c r="AI83" i="1"/>
  <c r="AI94" i="1" s="1"/>
  <c r="AE83" i="1"/>
  <c r="AC83" i="1"/>
  <c r="X83" i="1"/>
  <c r="Q83" i="1"/>
  <c r="AD83" i="1" s="1"/>
  <c r="L83" i="1"/>
  <c r="J83" i="1"/>
  <c r="AD82" i="1"/>
  <c r="AH82" i="1" s="1"/>
  <c r="AL82" i="1" s="1"/>
  <c r="AP82" i="1" s="1"/>
  <c r="AT82" i="1" s="1"/>
  <c r="AX82" i="1" s="1"/>
  <c r="BB82" i="1" s="1"/>
  <c r="BF82" i="1" s="1"/>
  <c r="BJ82" i="1" s="1"/>
  <c r="AC82" i="1"/>
  <c r="X82" i="1"/>
  <c r="O82" i="1"/>
  <c r="J82" i="1"/>
  <c r="AE81" i="1"/>
  <c r="AA81" i="1"/>
  <c r="AC81" i="1" s="1"/>
  <c r="W81" i="1"/>
  <c r="V81" i="1"/>
  <c r="AF81" i="1" s="1"/>
  <c r="R81" i="1"/>
  <c r="M81" i="1"/>
  <c r="O81" i="1" s="1"/>
  <c r="G81" i="1"/>
  <c r="J81" i="1" s="1"/>
  <c r="AD81" i="1" s="1"/>
  <c r="AO80" i="1"/>
  <c r="AO94" i="1" s="1"/>
  <c r="AN80" i="1"/>
  <c r="AN94" i="1" s="1"/>
  <c r="AJ80" i="1"/>
  <c r="AG80" i="1"/>
  <c r="AA80" i="1"/>
  <c r="AC80" i="1" s="1"/>
  <c r="W80" i="1"/>
  <c r="V80" i="1"/>
  <c r="AF80" i="1" s="1"/>
  <c r="U80" i="1"/>
  <c r="S80" i="1"/>
  <c r="S94" i="1" s="1"/>
  <c r="R80" i="1"/>
  <c r="Q80" i="1"/>
  <c r="Q94" i="1" s="1"/>
  <c r="Q160" i="1" s="1"/>
  <c r="N80" i="1"/>
  <c r="O80" i="1" s="1"/>
  <c r="M80" i="1"/>
  <c r="I80" i="1"/>
  <c r="H80" i="1"/>
  <c r="H94" i="1" s="1"/>
  <c r="G80" i="1"/>
  <c r="AD79" i="1"/>
  <c r="AH79" i="1" s="1"/>
  <c r="AL79" i="1" s="1"/>
  <c r="AP79" i="1" s="1"/>
  <c r="AT79" i="1" s="1"/>
  <c r="AX79" i="1" s="1"/>
  <c r="BB79" i="1" s="1"/>
  <c r="BF79" i="1" s="1"/>
  <c r="BJ79" i="1" s="1"/>
  <c r="AC79" i="1"/>
  <c r="X79" i="1"/>
  <c r="O79" i="1"/>
  <c r="J79" i="1"/>
  <c r="AD78" i="1"/>
  <c r="AH78" i="1" s="1"/>
  <c r="AL78" i="1" s="1"/>
  <c r="AP78" i="1" s="1"/>
  <c r="AT78" i="1" s="1"/>
  <c r="AX78" i="1" s="1"/>
  <c r="BB78" i="1" s="1"/>
  <c r="BF78" i="1" s="1"/>
  <c r="BJ78" i="1" s="1"/>
  <c r="AC78" i="1"/>
  <c r="X78" i="1"/>
  <c r="O78" i="1"/>
  <c r="J78" i="1"/>
  <c r="AG77" i="1"/>
  <c r="AF77" i="1"/>
  <c r="AE77" i="1"/>
  <c r="AD77" i="1"/>
  <c r="AH77" i="1" s="1"/>
  <c r="AL77" i="1" s="1"/>
  <c r="AP77" i="1" s="1"/>
  <c r="AT77" i="1" s="1"/>
  <c r="AX77" i="1" s="1"/>
  <c r="BB77" i="1" s="1"/>
  <c r="BF77" i="1" s="1"/>
  <c r="BJ77" i="1" s="1"/>
  <c r="AC77" i="1"/>
  <c r="X77" i="1"/>
  <c r="O77" i="1"/>
  <c r="J77" i="1"/>
  <c r="AD76" i="1"/>
  <c r="AH76" i="1" s="1"/>
  <c r="AL76" i="1" s="1"/>
  <c r="AP76" i="1" s="1"/>
  <c r="AT76" i="1" s="1"/>
  <c r="AX76" i="1" s="1"/>
  <c r="BB76" i="1" s="1"/>
  <c r="BF76" i="1" s="1"/>
  <c r="BJ76" i="1" s="1"/>
  <c r="AC76" i="1"/>
  <c r="X76" i="1"/>
  <c r="O76" i="1"/>
  <c r="J76" i="1"/>
  <c r="AD75" i="1"/>
  <c r="AC75" i="1"/>
  <c r="X75" i="1"/>
  <c r="O75" i="1"/>
  <c r="J75" i="1"/>
  <c r="BI71" i="1"/>
  <c r="BE71" i="1"/>
  <c r="BA71" i="1"/>
  <c r="AY71" i="1"/>
  <c r="AW71" i="1"/>
  <c r="AK71" i="1"/>
  <c r="AB71" i="1"/>
  <c r="AA71" i="1"/>
  <c r="Y71" i="1"/>
  <c r="Q71" i="1"/>
  <c r="Q203" i="1" s="1"/>
  <c r="Q206" i="1" s="1"/>
  <c r="Q175" i="1" s="1"/>
  <c r="M71" i="1"/>
  <c r="M159" i="1" s="1"/>
  <c r="N159" i="1" s="1"/>
  <c r="L71" i="1"/>
  <c r="G71" i="1"/>
  <c r="AD69" i="1"/>
  <c r="AH69" i="1" s="1"/>
  <c r="AL69" i="1" s="1"/>
  <c r="AP69" i="1" s="1"/>
  <c r="AT69" i="1" s="1"/>
  <c r="AX69" i="1" s="1"/>
  <c r="BB69" i="1" s="1"/>
  <c r="BF69" i="1" s="1"/>
  <c r="BJ69" i="1" s="1"/>
  <c r="AC69" i="1"/>
  <c r="X69" i="1"/>
  <c r="P69" i="1"/>
  <c r="O69" i="1"/>
  <c r="J69" i="1"/>
  <c r="AX67" i="1"/>
  <c r="BB67" i="1" s="1"/>
  <c r="BF67" i="1" s="1"/>
  <c r="BJ67" i="1" s="1"/>
  <c r="AC67" i="1"/>
  <c r="X67" i="1"/>
  <c r="P67" i="1"/>
  <c r="AD67" i="1" s="1"/>
  <c r="AH67" i="1" s="1"/>
  <c r="AL67" i="1" s="1"/>
  <c r="AP67" i="1" s="1"/>
  <c r="AT67" i="1" s="1"/>
  <c r="O67" i="1"/>
  <c r="J67" i="1"/>
  <c r="AD65" i="1"/>
  <c r="AH65" i="1" s="1"/>
  <c r="AL65" i="1" s="1"/>
  <c r="AP65" i="1" s="1"/>
  <c r="AT65" i="1" s="1"/>
  <c r="AX65" i="1" s="1"/>
  <c r="BB65" i="1" s="1"/>
  <c r="BF65" i="1" s="1"/>
  <c r="BJ65" i="1" s="1"/>
  <c r="AC65" i="1"/>
  <c r="X65" i="1"/>
  <c r="O65" i="1"/>
  <c r="J65" i="1"/>
  <c r="AD63" i="1"/>
  <c r="AH63" i="1" s="1"/>
  <c r="AL63" i="1" s="1"/>
  <c r="AP63" i="1" s="1"/>
  <c r="AT63" i="1" s="1"/>
  <c r="AX63" i="1" s="1"/>
  <c r="BB63" i="1" s="1"/>
  <c r="BF63" i="1" s="1"/>
  <c r="BJ63" i="1" s="1"/>
  <c r="AC63" i="1"/>
  <c r="X63" i="1"/>
  <c r="O63" i="1"/>
  <c r="J63" i="1"/>
  <c r="BH61" i="1"/>
  <c r="BG61" i="1"/>
  <c r="BG71" i="1" s="1"/>
  <c r="BD61" i="1"/>
  <c r="BD71" i="1" s="1"/>
  <c r="BC61" i="1"/>
  <c r="BC71" i="1" s="1"/>
  <c r="AZ61" i="1"/>
  <c r="AY61" i="1"/>
  <c r="AV61" i="1"/>
  <c r="AU61" i="1"/>
  <c r="AU71" i="1" s="1"/>
  <c r="AU159" i="1" s="1"/>
  <c r="AR61" i="1"/>
  <c r="AQ61" i="1"/>
  <c r="AQ71" i="1" s="1"/>
  <c r="AN61" i="1"/>
  <c r="AM61" i="1"/>
  <c r="AJ61" i="1"/>
  <c r="AI61" i="1"/>
  <c r="AF61" i="1"/>
  <c r="AE61" i="1"/>
  <c r="AC61" i="1"/>
  <c r="X61" i="1"/>
  <c r="R61" i="1"/>
  <c r="R71" i="1" s="1"/>
  <c r="Q61" i="1"/>
  <c r="O61" i="1"/>
  <c r="J61" i="1"/>
  <c r="BH59" i="1"/>
  <c r="BH71" i="1" s="1"/>
  <c r="BD59" i="1"/>
  <c r="AZ59" i="1"/>
  <c r="AZ71" i="1" s="1"/>
  <c r="AV59" i="1"/>
  <c r="AV71" i="1" s="1"/>
  <c r="AV203" i="1" s="1"/>
  <c r="AV206" i="1" s="1"/>
  <c r="AV175" i="1" s="1"/>
  <c r="AS59" i="1"/>
  <c r="AS71" i="1" s="1"/>
  <c r="AR59" i="1"/>
  <c r="AR71" i="1" s="1"/>
  <c r="AO59" i="1"/>
  <c r="AO71" i="1" s="1"/>
  <c r="AN59" i="1"/>
  <c r="AN71" i="1" s="1"/>
  <c r="AM59" i="1"/>
  <c r="AM71" i="1" s="1"/>
  <c r="AK59" i="1"/>
  <c r="AJ59" i="1"/>
  <c r="AJ71" i="1" s="1"/>
  <c r="AI59" i="1"/>
  <c r="AI71" i="1" s="1"/>
  <c r="AI159" i="1" s="1"/>
  <c r="AG59" i="1"/>
  <c r="AG71" i="1" s="1"/>
  <c r="Z59" i="1"/>
  <c r="AC59" i="1" s="1"/>
  <c r="W59" i="1"/>
  <c r="V59" i="1"/>
  <c r="V71" i="1" s="1"/>
  <c r="V145" i="1" s="1"/>
  <c r="U59" i="1"/>
  <c r="U71" i="1" s="1"/>
  <c r="T59" i="1"/>
  <c r="S59" i="1"/>
  <c r="S71" i="1" s="1"/>
  <c r="R59" i="1"/>
  <c r="P59" i="1"/>
  <c r="N59" i="1"/>
  <c r="N71" i="1" s="1"/>
  <c r="K59" i="1"/>
  <c r="I59" i="1"/>
  <c r="I71" i="1" s="1"/>
  <c r="H59" i="1"/>
  <c r="F59" i="1"/>
  <c r="F71" i="1" s="1"/>
  <c r="BE55" i="1"/>
  <c r="AW55" i="1"/>
  <c r="AI55" i="1"/>
  <c r="AB55" i="1"/>
  <c r="AA55" i="1"/>
  <c r="Z55" i="1"/>
  <c r="U55" i="1"/>
  <c r="M55" i="1"/>
  <c r="L55" i="1"/>
  <c r="K55" i="1"/>
  <c r="H55" i="1"/>
  <c r="H149" i="1" s="1"/>
  <c r="F55" i="1"/>
  <c r="AN53" i="1"/>
  <c r="AJ53" i="1"/>
  <c r="AG53" i="1"/>
  <c r="AF53" i="1"/>
  <c r="AE53" i="1"/>
  <c r="AC53" i="1"/>
  <c r="X53" i="1"/>
  <c r="O53" i="1"/>
  <c r="J53" i="1"/>
  <c r="AD53" i="1" s="1"/>
  <c r="AD51" i="1"/>
  <c r="AH51" i="1" s="1"/>
  <c r="AL51" i="1" s="1"/>
  <c r="AP51" i="1" s="1"/>
  <c r="AT51" i="1" s="1"/>
  <c r="AX51" i="1" s="1"/>
  <c r="BB51" i="1" s="1"/>
  <c r="BF51" i="1" s="1"/>
  <c r="BJ51" i="1" s="1"/>
  <c r="AC51" i="1"/>
  <c r="X51" i="1"/>
  <c r="O51" i="1"/>
  <c r="J51" i="1"/>
  <c r="AD49" i="1"/>
  <c r="AH49" i="1" s="1"/>
  <c r="AL49" i="1" s="1"/>
  <c r="AP49" i="1" s="1"/>
  <c r="AT49" i="1" s="1"/>
  <c r="AX49" i="1" s="1"/>
  <c r="BB49" i="1" s="1"/>
  <c r="BF49" i="1" s="1"/>
  <c r="BJ49" i="1" s="1"/>
  <c r="AC49" i="1"/>
  <c r="X49" i="1"/>
  <c r="O49" i="1"/>
  <c r="J49" i="1"/>
  <c r="AD47" i="1"/>
  <c r="AH47" i="1" s="1"/>
  <c r="AL47" i="1" s="1"/>
  <c r="AP47" i="1" s="1"/>
  <c r="AT47" i="1" s="1"/>
  <c r="AX47" i="1" s="1"/>
  <c r="BB47" i="1" s="1"/>
  <c r="BF47" i="1" s="1"/>
  <c r="BJ47" i="1" s="1"/>
  <c r="AC47" i="1"/>
  <c r="AC120" i="1" s="1"/>
  <c r="X47" i="1"/>
  <c r="X120" i="1" s="1"/>
  <c r="O47" i="1"/>
  <c r="O120" i="1" s="1"/>
  <c r="J47" i="1"/>
  <c r="J120" i="1" s="1"/>
  <c r="AP45" i="1"/>
  <c r="AT45" i="1" s="1"/>
  <c r="AX45" i="1" s="1"/>
  <c r="BB45" i="1" s="1"/>
  <c r="BF45" i="1" s="1"/>
  <c r="BJ45" i="1" s="1"/>
  <c r="AL45" i="1"/>
  <c r="BI43" i="1"/>
  <c r="BI55" i="1" s="1"/>
  <c r="BD43" i="1"/>
  <c r="BC43" i="1"/>
  <c r="BA43" i="1"/>
  <c r="AV43" i="1"/>
  <c r="AR43" i="1"/>
  <c r="AO43" i="1"/>
  <c r="AN43" i="1"/>
  <c r="AM43" i="1"/>
  <c r="AK43" i="1"/>
  <c r="AJ43" i="1"/>
  <c r="AI43" i="1"/>
  <c r="AF43" i="1"/>
  <c r="AE43" i="1"/>
  <c r="AC43" i="1"/>
  <c r="W43" i="1"/>
  <c r="R43" i="1"/>
  <c r="P43" i="1"/>
  <c r="P55" i="1" s="1"/>
  <c r="N43" i="1"/>
  <c r="O43" i="1" s="1"/>
  <c r="I43" i="1"/>
  <c r="G43" i="1"/>
  <c r="J43" i="1" s="1"/>
  <c r="AD43" i="1" s="1"/>
  <c r="AL41" i="1"/>
  <c r="AP41" i="1" s="1"/>
  <c r="AT41" i="1" s="1"/>
  <c r="AX41" i="1" s="1"/>
  <c r="BB41" i="1" s="1"/>
  <c r="BF41" i="1" s="1"/>
  <c r="BJ41" i="1" s="1"/>
  <c r="AD41" i="1"/>
  <c r="AH41" i="1" s="1"/>
  <c r="AC41" i="1"/>
  <c r="AC118" i="1" s="1"/>
  <c r="X41" i="1"/>
  <c r="X118" i="1" s="1"/>
  <c r="O41" i="1"/>
  <c r="O118" i="1" s="1"/>
  <c r="J41" i="1"/>
  <c r="J118" i="1" s="1"/>
  <c r="BI39" i="1"/>
  <c r="BH39" i="1"/>
  <c r="BG39" i="1"/>
  <c r="BD39" i="1"/>
  <c r="BC39" i="1"/>
  <c r="BA39" i="1"/>
  <c r="AZ39" i="1"/>
  <c r="AY39" i="1"/>
  <c r="AU39" i="1"/>
  <c r="AS39" i="1"/>
  <c r="AS55" i="1" s="1"/>
  <c r="AR39" i="1"/>
  <c r="AQ39" i="1"/>
  <c r="AO39" i="1"/>
  <c r="AO55" i="1" s="1"/>
  <c r="AN39" i="1"/>
  <c r="AM39" i="1"/>
  <c r="AK39" i="1"/>
  <c r="AI39" i="1"/>
  <c r="AF39" i="1"/>
  <c r="AE39" i="1"/>
  <c r="Y39" i="1"/>
  <c r="V39" i="1"/>
  <c r="T39" i="1"/>
  <c r="S39" i="1"/>
  <c r="S116" i="1" s="1"/>
  <c r="R39" i="1"/>
  <c r="Q39" i="1"/>
  <c r="N39" i="1"/>
  <c r="I39" i="1"/>
  <c r="J39" i="1" s="1"/>
  <c r="J116" i="1" s="1"/>
  <c r="AG37" i="1"/>
  <c r="AF37" i="1"/>
  <c r="AE37" i="1"/>
  <c r="AD37" i="1"/>
  <c r="AC37" i="1"/>
  <c r="X37" i="1"/>
  <c r="O37" i="1"/>
  <c r="J37" i="1"/>
  <c r="BH35" i="1"/>
  <c r="BG35" i="1"/>
  <c r="BD35" i="1"/>
  <c r="BC35" i="1"/>
  <c r="BC148" i="1" s="1"/>
  <c r="AZ35" i="1"/>
  <c r="AY35" i="1"/>
  <c r="AV35" i="1"/>
  <c r="AV55" i="1" s="1"/>
  <c r="AV105" i="1" s="1"/>
  <c r="AV124" i="1" s="1"/>
  <c r="AU35" i="1"/>
  <c r="AU148" i="1" s="1"/>
  <c r="AR35" i="1"/>
  <c r="AQ35" i="1"/>
  <c r="AN35" i="1"/>
  <c r="AN55" i="1" s="1"/>
  <c r="AM35" i="1"/>
  <c r="AG35" i="1"/>
  <c r="AF35" i="1"/>
  <c r="AE35" i="1"/>
  <c r="AD35" i="1"/>
  <c r="AC35" i="1"/>
  <c r="X35" i="1"/>
  <c r="X112" i="1" s="1"/>
  <c r="O35" i="1"/>
  <c r="O112" i="1" s="1"/>
  <c r="J35" i="1"/>
  <c r="N31" i="1"/>
  <c r="BI29" i="1"/>
  <c r="BH29" i="1"/>
  <c r="BG29" i="1"/>
  <c r="BE29" i="1"/>
  <c r="BD29" i="1"/>
  <c r="BC29" i="1"/>
  <c r="BA29" i="1"/>
  <c r="AZ29" i="1"/>
  <c r="AY29" i="1"/>
  <c r="AW29" i="1"/>
  <c r="AV29" i="1"/>
  <c r="AU29" i="1"/>
  <c r="AS29" i="1"/>
  <c r="AR29" i="1"/>
  <c r="AQ29" i="1"/>
  <c r="AO29" i="1"/>
  <c r="AN29" i="1"/>
  <c r="AM29" i="1"/>
  <c r="AK29" i="1"/>
  <c r="AJ29" i="1"/>
  <c r="AI29" i="1"/>
  <c r="AG29" i="1"/>
  <c r="AB29" i="1"/>
  <c r="AA29" i="1"/>
  <c r="Z29" i="1"/>
  <c r="Y29" i="1"/>
  <c r="W29" i="1"/>
  <c r="U29" i="1"/>
  <c r="T29" i="1"/>
  <c r="S29" i="1"/>
  <c r="R29" i="1"/>
  <c r="Q29" i="1"/>
  <c r="P29" i="1"/>
  <c r="N29" i="1"/>
  <c r="M29" i="1"/>
  <c r="L29" i="1"/>
  <c r="K29" i="1"/>
  <c r="J29" i="1"/>
  <c r="I29" i="1"/>
  <c r="H29" i="1"/>
  <c r="G29" i="1"/>
  <c r="F29" i="1"/>
  <c r="AG27" i="1"/>
  <c r="AE27" i="1"/>
  <c r="AC27" i="1"/>
  <c r="V27" i="1"/>
  <c r="O27" i="1"/>
  <c r="J27" i="1"/>
  <c r="AD27" i="1" s="1"/>
  <c r="AF25" i="1"/>
  <c r="AE25" i="1"/>
  <c r="AD25" i="1"/>
  <c r="AC25" i="1"/>
  <c r="X25" i="1"/>
  <c r="W25" i="1"/>
  <c r="AG25" i="1" s="1"/>
  <c r="O25" i="1"/>
  <c r="O29" i="1" s="1"/>
  <c r="J25" i="1"/>
  <c r="BI21" i="1"/>
  <c r="BH21" i="1"/>
  <c r="BG21" i="1"/>
  <c r="BE21" i="1"/>
  <c r="BD21" i="1"/>
  <c r="BA21" i="1"/>
  <c r="AZ21" i="1"/>
  <c r="AW21" i="1"/>
  <c r="AV21" i="1"/>
  <c r="AS21" i="1"/>
  <c r="AR21" i="1"/>
  <c r="AO21" i="1"/>
  <c r="AN21" i="1"/>
  <c r="AK21" i="1"/>
  <c r="AJ21" i="1"/>
  <c r="AG21" i="1"/>
  <c r="AB21" i="1"/>
  <c r="AA21" i="1"/>
  <c r="AA31" i="1" s="1"/>
  <c r="Z21" i="1"/>
  <c r="Y21" i="1"/>
  <c r="W21" i="1"/>
  <c r="V21" i="1"/>
  <c r="U21" i="1"/>
  <c r="T21" i="1"/>
  <c r="S21" i="1"/>
  <c r="R21" i="1"/>
  <c r="R31" i="1" s="1"/>
  <c r="Q21" i="1"/>
  <c r="P21" i="1"/>
  <c r="N21" i="1"/>
  <c r="M21" i="1"/>
  <c r="L21" i="1"/>
  <c r="K21" i="1"/>
  <c r="I21" i="1"/>
  <c r="H21" i="1"/>
  <c r="F21" i="1"/>
  <c r="BG19" i="1"/>
  <c r="BG158" i="1" s="1"/>
  <c r="BI158" i="1" s="1"/>
  <c r="BC19" i="1"/>
  <c r="AY19" i="1"/>
  <c r="AY158" i="1" s="1"/>
  <c r="BA158" i="1" s="1"/>
  <c r="AU19" i="1"/>
  <c r="AQ19" i="1"/>
  <c r="AQ158" i="1" s="1"/>
  <c r="AS158" i="1" s="1"/>
  <c r="AM19" i="1"/>
  <c r="AI19" i="1"/>
  <c r="AI158" i="1" s="1"/>
  <c r="AK158" i="1" s="1"/>
  <c r="AG19" i="1"/>
  <c r="AE19" i="1"/>
  <c r="AE21" i="1" s="1"/>
  <c r="AC19" i="1"/>
  <c r="AC21" i="1" s="1"/>
  <c r="X19" i="1"/>
  <c r="X21" i="1" s="1"/>
  <c r="V19" i="1"/>
  <c r="O19" i="1"/>
  <c r="O21" i="1" s="1"/>
  <c r="H19" i="1"/>
  <c r="H158" i="1" s="1"/>
  <c r="G19" i="1"/>
  <c r="BI15" i="1"/>
  <c r="BH15" i="1"/>
  <c r="BH31" i="1" s="1"/>
  <c r="BG15" i="1"/>
  <c r="BE15" i="1"/>
  <c r="BE31" i="1" s="1"/>
  <c r="BD15" i="1"/>
  <c r="BC15" i="1"/>
  <c r="BA15" i="1"/>
  <c r="AZ15" i="1"/>
  <c r="AY15" i="1"/>
  <c r="AU15" i="1"/>
  <c r="AS15" i="1"/>
  <c r="AS31" i="1" s="1"/>
  <c r="AQ15" i="1"/>
  <c r="AO15" i="1"/>
  <c r="AM15" i="1"/>
  <c r="AK15" i="1"/>
  <c r="AK31" i="1" s="1"/>
  <c r="AJ15" i="1"/>
  <c r="AI15" i="1"/>
  <c r="AF15" i="1"/>
  <c r="AB15" i="1"/>
  <c r="AA15" i="1"/>
  <c r="Z15" i="1"/>
  <c r="Y15" i="1"/>
  <c r="W15" i="1"/>
  <c r="V15" i="1"/>
  <c r="U15" i="1"/>
  <c r="U31" i="1" s="1"/>
  <c r="T15" i="1"/>
  <c r="S15" i="1"/>
  <c r="R15" i="1"/>
  <c r="Q15" i="1"/>
  <c r="P15" i="1"/>
  <c r="N15" i="1"/>
  <c r="M15" i="1"/>
  <c r="K15" i="1"/>
  <c r="I15" i="1"/>
  <c r="H15" i="1"/>
  <c r="G15" i="1"/>
  <c r="F15" i="1"/>
  <c r="AH13" i="1"/>
  <c r="AL13" i="1" s="1"/>
  <c r="AP13" i="1" s="1"/>
  <c r="AT13" i="1" s="1"/>
  <c r="AX13" i="1" s="1"/>
  <c r="BB13" i="1" s="1"/>
  <c r="BF13" i="1" s="1"/>
  <c r="BJ13" i="1" s="1"/>
  <c r="AD13" i="1"/>
  <c r="AC13" i="1"/>
  <c r="X13" i="1"/>
  <c r="O13" i="1"/>
  <c r="J13" i="1"/>
  <c r="AZ11" i="1"/>
  <c r="AW11" i="1"/>
  <c r="AW15" i="1" s="1"/>
  <c r="AW31" i="1" s="1"/>
  <c r="AV11" i="1"/>
  <c r="AV15" i="1" s="1"/>
  <c r="AR11" i="1"/>
  <c r="AR15" i="1" s="1"/>
  <c r="AN11" i="1"/>
  <c r="AG11" i="1"/>
  <c r="AG15" i="1" s="1"/>
  <c r="AG31" i="1" s="1"/>
  <c r="AF11" i="1"/>
  <c r="AE11" i="1"/>
  <c r="AD11" i="1"/>
  <c r="AC11" i="1"/>
  <c r="X11" i="1"/>
  <c r="X15" i="1" s="1"/>
  <c r="Q11" i="1"/>
  <c r="L11" i="1"/>
  <c r="L15" i="1" s="1"/>
  <c r="L31" i="1" s="1"/>
  <c r="J11" i="1"/>
  <c r="J112" i="1" l="1"/>
  <c r="J55" i="1"/>
  <c r="BG146" i="1"/>
  <c r="BG157" i="1"/>
  <c r="V179" i="1"/>
  <c r="X175" i="1"/>
  <c r="O11" i="1"/>
  <c r="O15" i="1" s="1"/>
  <c r="M31" i="1"/>
  <c r="BD55" i="1"/>
  <c r="BD105" i="1" s="1"/>
  <c r="BD124" i="1" s="1"/>
  <c r="U94" i="1"/>
  <c r="X80" i="1"/>
  <c r="AE80" i="1"/>
  <c r="U165" i="1"/>
  <c r="U182" i="1" s="1"/>
  <c r="H31" i="1"/>
  <c r="AQ148" i="1"/>
  <c r="AQ55" i="1"/>
  <c r="AQ118" i="1" s="1"/>
  <c r="AQ120" i="1" s="1"/>
  <c r="AY148" i="1"/>
  <c r="AY55" i="1"/>
  <c r="Q55" i="1"/>
  <c r="Q116" i="1"/>
  <c r="AG43" i="1"/>
  <c r="AH43" i="1" s="1"/>
  <c r="AL43" i="1" s="1"/>
  <c r="AP43" i="1" s="1"/>
  <c r="AT43" i="1" s="1"/>
  <c r="AX43" i="1" s="1"/>
  <c r="BB43" i="1" s="1"/>
  <c r="BF43" i="1" s="1"/>
  <c r="BJ43" i="1" s="1"/>
  <c r="X43" i="1"/>
  <c r="G55" i="1"/>
  <c r="AC71" i="1"/>
  <c r="P71" i="1"/>
  <c r="P105" i="1" s="1"/>
  <c r="Z71" i="1"/>
  <c r="Z105" i="1" s="1"/>
  <c r="Z124" i="1" s="1"/>
  <c r="X90" i="1"/>
  <c r="Z179" i="1"/>
  <c r="AV31" i="1"/>
  <c r="AV108" i="1" s="1"/>
  <c r="AV112" i="1" s="1"/>
  <c r="AV116" i="1" s="1"/>
  <c r="P31" i="1"/>
  <c r="T31" i="1"/>
  <c r="AB31" i="1"/>
  <c r="BI31" i="1"/>
  <c r="Z31" i="1"/>
  <c r="AI21" i="1"/>
  <c r="AI31" i="1" s="1"/>
  <c r="AC29" i="1"/>
  <c r="S55" i="1"/>
  <c r="S105" i="1" s="1"/>
  <c r="S124" i="1" s="1"/>
  <c r="AU55" i="1"/>
  <c r="V94" i="1"/>
  <c r="V160" i="1" s="1"/>
  <c r="AE158" i="1"/>
  <c r="AG158" i="1" s="1"/>
  <c r="AN160" i="1"/>
  <c r="AH99" i="1"/>
  <c r="AL99" i="1" s="1"/>
  <c r="AP99" i="1" s="1"/>
  <c r="AT99" i="1" s="1"/>
  <c r="AX99" i="1" s="1"/>
  <c r="BB99" i="1" s="1"/>
  <c r="BF99" i="1" s="1"/>
  <c r="BJ99" i="1" s="1"/>
  <c r="L165" i="1"/>
  <c r="AJ179" i="1"/>
  <c r="R168" i="1"/>
  <c r="AN179" i="1"/>
  <c r="AR31" i="1"/>
  <c r="S31" i="1"/>
  <c r="W31" i="1"/>
  <c r="BA31" i="1"/>
  <c r="AE29" i="1"/>
  <c r="AR55" i="1"/>
  <c r="AR118" i="1" s="1"/>
  <c r="AR120" i="1" s="1"/>
  <c r="BH55" i="1"/>
  <c r="AK55" i="1"/>
  <c r="BA55" i="1"/>
  <c r="BA118" i="1" s="1"/>
  <c r="BA120" i="1" s="1"/>
  <c r="AF59" i="1"/>
  <c r="AF71" i="1" s="1"/>
  <c r="AF203" i="1" s="1"/>
  <c r="AF206" i="1" s="1"/>
  <c r="AF175" i="1" s="1"/>
  <c r="AF179" i="1" s="1"/>
  <c r="AD61" i="1"/>
  <c r="AH61" i="1" s="1"/>
  <c r="AL61" i="1" s="1"/>
  <c r="AP61" i="1" s="1"/>
  <c r="AG91" i="1"/>
  <c r="AU160" i="1"/>
  <c r="AW160" i="1" s="1"/>
  <c r="G103" i="1"/>
  <c r="BG160" i="1"/>
  <c r="X119" i="1"/>
  <c r="N157" i="1"/>
  <c r="BE163" i="1"/>
  <c r="AK168" i="1"/>
  <c r="AO176" i="1"/>
  <c r="AW175" i="1"/>
  <c r="AY179" i="1"/>
  <c r="AR105" i="1"/>
  <c r="AR124" i="1" s="1"/>
  <c r="AH11" i="1"/>
  <c r="AD15" i="1"/>
  <c r="AD169" i="1"/>
  <c r="AD172" i="1" s="1"/>
  <c r="AI118" i="1"/>
  <c r="AI120" i="1" s="1"/>
  <c r="AI105" i="1"/>
  <c r="AI124" i="1" s="1"/>
  <c r="BE118" i="1"/>
  <c r="BE120" i="1" s="1"/>
  <c r="BE105" i="1"/>
  <c r="BE124" i="1" s="1"/>
  <c r="AR203" i="1"/>
  <c r="AR206" i="1" s="1"/>
  <c r="AR175" i="1" s="1"/>
  <c r="AR179" i="1" s="1"/>
  <c r="AR159" i="1"/>
  <c r="AR145" i="1"/>
  <c r="P176" i="1"/>
  <c r="L179" i="1"/>
  <c r="L182" i="1" s="1"/>
  <c r="Q31" i="1"/>
  <c r="Z108" i="1"/>
  <c r="N108" i="1"/>
  <c r="BD149" i="1"/>
  <c r="BD118" i="1"/>
  <c r="BD120" i="1" s="1"/>
  <c r="AI157" i="1"/>
  <c r="AI146" i="1"/>
  <c r="BD203" i="1"/>
  <c r="BD206" i="1" s="1"/>
  <c r="BD175" i="1" s="1"/>
  <c r="BE175" i="1" s="1"/>
  <c r="BE179" i="1" s="1"/>
  <c r="BD145" i="1"/>
  <c r="BD159" i="1"/>
  <c r="AU158" i="1"/>
  <c r="AW158" i="1" s="1"/>
  <c r="AU21" i="1"/>
  <c r="I31" i="1"/>
  <c r="AO31" i="1"/>
  <c r="AD55" i="1"/>
  <c r="AH35" i="1"/>
  <c r="AQ31" i="1"/>
  <c r="AU105" i="1"/>
  <c r="AU124" i="1" s="1"/>
  <c r="AU118" i="1"/>
  <c r="AU120" i="1" s="1"/>
  <c r="AM203" i="1"/>
  <c r="AM159" i="1"/>
  <c r="AH75" i="1"/>
  <c r="AF94" i="1"/>
  <c r="V144" i="1"/>
  <c r="AF55" i="1"/>
  <c r="Y116" i="1"/>
  <c r="AC39" i="1"/>
  <c r="AC116" i="1" s="1"/>
  <c r="Y55" i="1"/>
  <c r="Y105" i="1" s="1"/>
  <c r="AO118" i="1"/>
  <c r="AO120" i="1" s="1"/>
  <c r="AO105" i="1"/>
  <c r="AO124" i="1" s="1"/>
  <c r="BC146" i="1"/>
  <c r="BC157" i="1"/>
  <c r="BC55" i="1"/>
  <c r="AJ55" i="1"/>
  <c r="AT61" i="1"/>
  <c r="AX61" i="1" s="1"/>
  <c r="BB61" i="1" s="1"/>
  <c r="BF61" i="1" s="1"/>
  <c r="BJ61" i="1" s="1"/>
  <c r="AJ145" i="1"/>
  <c r="AJ159" i="1"/>
  <c r="H105" i="1"/>
  <c r="H124" i="1" s="1"/>
  <c r="U103" i="1"/>
  <c r="U105" i="1" s="1"/>
  <c r="X100" i="1"/>
  <c r="AE100" i="1"/>
  <c r="AM148" i="1"/>
  <c r="AM55" i="1"/>
  <c r="N116" i="1"/>
  <c r="N55" i="1"/>
  <c r="N105" i="1" s="1"/>
  <c r="N124" i="1" s="1"/>
  <c r="O39" i="1"/>
  <c r="AF145" i="1"/>
  <c r="AE163" i="1"/>
  <c r="AG163" i="1" s="1"/>
  <c r="AE15" i="1"/>
  <c r="AE31" i="1" s="1"/>
  <c r="Y31" i="1"/>
  <c r="Y108" i="1" s="1"/>
  <c r="BI118" i="1"/>
  <c r="BI120" i="1" s="1"/>
  <c r="BI105" i="1"/>
  <c r="BI124" i="1" s="1"/>
  <c r="X59" i="1"/>
  <c r="X71" i="1" s="1"/>
  <c r="T71" i="1"/>
  <c r="AV145" i="1"/>
  <c r="AV159" i="1"/>
  <c r="AW159" i="1" s="1"/>
  <c r="AO175" i="1"/>
  <c r="AO179" i="1" s="1"/>
  <c r="AM179" i="1"/>
  <c r="R116" i="1"/>
  <c r="R55" i="1"/>
  <c r="H71" i="1"/>
  <c r="J59" i="1"/>
  <c r="AC94" i="1"/>
  <c r="AY31" i="1"/>
  <c r="AE55" i="1"/>
  <c r="BG203" i="1"/>
  <c r="BG159" i="1"/>
  <c r="BG165" i="1" s="1"/>
  <c r="R94" i="1"/>
  <c r="AJ144" i="1"/>
  <c r="AJ160" i="1"/>
  <c r="O31" i="1"/>
  <c r="AZ31" i="1"/>
  <c r="AQ21" i="1"/>
  <c r="AQ143" i="1" s="1"/>
  <c r="BH149" i="1"/>
  <c r="BH118" i="1"/>
  <c r="BH120" i="1" s="1"/>
  <c r="BH105" i="1"/>
  <c r="BH124" i="1" s="1"/>
  <c r="AN150" i="1"/>
  <c r="AN163" i="1"/>
  <c r="AO163" i="1" s="1"/>
  <c r="AN15" i="1"/>
  <c r="AV118" i="1"/>
  <c r="AV120" i="1" s="1"/>
  <c r="AV149" i="1"/>
  <c r="AC15" i="1"/>
  <c r="AC31" i="1" s="1"/>
  <c r="AR150" i="1"/>
  <c r="AR163" i="1"/>
  <c r="AS163" i="1" s="1"/>
  <c r="AI143" i="1"/>
  <c r="BG143" i="1"/>
  <c r="V29" i="1"/>
  <c r="V31" i="1" s="1"/>
  <c r="X27" i="1"/>
  <c r="X29" i="1" s="1"/>
  <c r="X31" i="1" s="1"/>
  <c r="AF27" i="1"/>
  <c r="AH27" i="1" s="1"/>
  <c r="AL27" i="1" s="1"/>
  <c r="AP27" i="1" s="1"/>
  <c r="AT27" i="1" s="1"/>
  <c r="AX27" i="1" s="1"/>
  <c r="BB27" i="1" s="1"/>
  <c r="BF27" i="1" s="1"/>
  <c r="BJ27" i="1" s="1"/>
  <c r="AY118" i="1"/>
  <c r="AY120" i="1" s="1"/>
  <c r="AY105" i="1"/>
  <c r="AY124" i="1" s="1"/>
  <c r="AE59" i="1"/>
  <c r="AE71" i="1" s="1"/>
  <c r="AE159" i="1" s="1"/>
  <c r="Q179" i="1"/>
  <c r="BH203" i="1"/>
  <c r="BH206" i="1" s="1"/>
  <c r="BH175" i="1" s="1"/>
  <c r="BH179" i="1" s="1"/>
  <c r="BH145" i="1"/>
  <c r="BH159" i="1"/>
  <c r="I94" i="1"/>
  <c r="J91" i="1"/>
  <c r="AD91" i="1" s="1"/>
  <c r="AH91" i="1" s="1"/>
  <c r="AL91" i="1" s="1"/>
  <c r="AP91" i="1" s="1"/>
  <c r="AT91" i="1" s="1"/>
  <c r="AX91" i="1" s="1"/>
  <c r="BB91" i="1" s="1"/>
  <c r="BF91" i="1" s="1"/>
  <c r="BJ91" i="1" s="1"/>
  <c r="AU203" i="1"/>
  <c r="Q163" i="1"/>
  <c r="S163" i="1" s="1"/>
  <c r="Q143" i="1"/>
  <c r="AZ163" i="1"/>
  <c r="BA163" i="1" s="1"/>
  <c r="AZ150" i="1"/>
  <c r="F31" i="1"/>
  <c r="BG31" i="1"/>
  <c r="V158" i="1"/>
  <c r="AF19" i="1"/>
  <c r="AM158" i="1"/>
  <c r="AO158" i="1" s="1"/>
  <c r="AM21" i="1"/>
  <c r="AY21" i="1"/>
  <c r="AY143" i="1" s="1"/>
  <c r="AH25" i="1"/>
  <c r="AH37" i="1"/>
  <c r="AL37" i="1" s="1"/>
  <c r="AP37" i="1" s="1"/>
  <c r="AT37" i="1" s="1"/>
  <c r="AX37" i="1" s="1"/>
  <c r="BB37" i="1" s="1"/>
  <c r="BF37" i="1" s="1"/>
  <c r="BJ37" i="1" s="1"/>
  <c r="AE146" i="1"/>
  <c r="AE157" i="1"/>
  <c r="AS118" i="1"/>
  <c r="AS120" i="1" s="1"/>
  <c r="AS105" i="1"/>
  <c r="AS124" i="1" s="1"/>
  <c r="AN159" i="1"/>
  <c r="AN165" i="1" s="1"/>
  <c r="AN182" i="1" s="1"/>
  <c r="AN145" i="1"/>
  <c r="AQ203" i="1"/>
  <c r="AQ159" i="1"/>
  <c r="AA145" i="1"/>
  <c r="AA159" i="1"/>
  <c r="AE94" i="1"/>
  <c r="AH83" i="1"/>
  <c r="AL83" i="1" s="1"/>
  <c r="AP83" i="1" s="1"/>
  <c r="AT83" i="1" s="1"/>
  <c r="AX83" i="1" s="1"/>
  <c r="BB83" i="1" s="1"/>
  <c r="BF83" i="1" s="1"/>
  <c r="BJ83" i="1" s="1"/>
  <c r="AH90" i="1"/>
  <c r="AL90" i="1" s="1"/>
  <c r="AP90" i="1" s="1"/>
  <c r="AT90" i="1" s="1"/>
  <c r="AX90" i="1" s="1"/>
  <c r="BB90" i="1" s="1"/>
  <c r="BF90" i="1" s="1"/>
  <c r="BJ90" i="1" s="1"/>
  <c r="AK179" i="1"/>
  <c r="M179" i="1"/>
  <c r="P169" i="1"/>
  <c r="AE171" i="1"/>
  <c r="AE179" i="1" s="1"/>
  <c r="AF180" i="1"/>
  <c r="G179" i="1"/>
  <c r="J171" i="1"/>
  <c r="AK118" i="1"/>
  <c r="AK120" i="1" s="1"/>
  <c r="AK105" i="1"/>
  <c r="AK124" i="1" s="1"/>
  <c r="AK159" i="1"/>
  <c r="R159" i="1"/>
  <c r="R203" i="1"/>
  <c r="R206" i="1" s="1"/>
  <c r="R175" i="1" s="1"/>
  <c r="R145" i="1"/>
  <c r="G94" i="1"/>
  <c r="G160" i="1" s="1"/>
  <c r="J80" i="1"/>
  <c r="AD80" i="1" s="1"/>
  <c r="AI160" i="1"/>
  <c r="BH160" i="1"/>
  <c r="BI160" i="1" s="1"/>
  <c r="BH144" i="1"/>
  <c r="V159" i="1"/>
  <c r="W159" i="1" s="1"/>
  <c r="J15" i="1"/>
  <c r="AZ55" i="1"/>
  <c r="AD39" i="1"/>
  <c r="T55" i="1"/>
  <c r="AM157" i="1"/>
  <c r="AM146" i="1"/>
  <c r="AN118" i="1"/>
  <c r="AN120" i="1" s="1"/>
  <c r="AN149" i="1"/>
  <c r="AN105" i="1"/>
  <c r="AN124" i="1" s="1"/>
  <c r="O59" i="1"/>
  <c r="O71" i="1" s="1"/>
  <c r="K71" i="1"/>
  <c r="K105" i="1" s="1"/>
  <c r="AZ159" i="1"/>
  <c r="AZ165" i="1" s="1"/>
  <c r="AZ203" i="1"/>
  <c r="AZ206" i="1" s="1"/>
  <c r="AZ175" i="1" s="1"/>
  <c r="AZ179" i="1" s="1"/>
  <c r="AZ145" i="1"/>
  <c r="H160" i="1"/>
  <c r="H144" i="1"/>
  <c r="AZ144" i="1"/>
  <c r="AZ160" i="1"/>
  <c r="BA160" i="1" s="1"/>
  <c r="T116" i="1"/>
  <c r="K31" i="1"/>
  <c r="AJ31" i="1"/>
  <c r="G143" i="1"/>
  <c r="G152" i="1" s="1"/>
  <c r="G154" i="1" s="1"/>
  <c r="G158" i="1"/>
  <c r="I158" i="1" s="1"/>
  <c r="I165" i="1" s="1"/>
  <c r="G21" i="1"/>
  <c r="G31" i="1" s="1"/>
  <c r="AU157" i="1"/>
  <c r="AU146" i="1"/>
  <c r="L163" i="1"/>
  <c r="N163" i="1" s="1"/>
  <c r="M108" i="1"/>
  <c r="BD31" i="1"/>
  <c r="J19" i="1"/>
  <c r="BC158" i="1"/>
  <c r="BE158" i="1" s="1"/>
  <c r="BC21" i="1"/>
  <c r="BC143" i="1" s="1"/>
  <c r="BC152" i="1" s="1"/>
  <c r="AD29" i="1"/>
  <c r="M144" i="1"/>
  <c r="M160" i="1"/>
  <c r="M165" i="1" s="1"/>
  <c r="M182" i="1" s="1"/>
  <c r="AR160" i="1"/>
  <c r="AR144" i="1"/>
  <c r="L103" i="1"/>
  <c r="AS157" i="1"/>
  <c r="AV163" i="1"/>
  <c r="AW163" i="1" s="1"/>
  <c r="AV150" i="1"/>
  <c r="AY157" i="1"/>
  <c r="AY146" i="1"/>
  <c r="AH53" i="1"/>
  <c r="AL53" i="1" s="1"/>
  <c r="AP53" i="1" s="1"/>
  <c r="AT53" i="1" s="1"/>
  <c r="AX53" i="1" s="1"/>
  <c r="BB53" i="1" s="1"/>
  <c r="BF53" i="1" s="1"/>
  <c r="BJ53" i="1" s="1"/>
  <c r="AA94" i="1"/>
  <c r="G165" i="1"/>
  <c r="BI157" i="1"/>
  <c r="U160" i="1"/>
  <c r="U143" i="1"/>
  <c r="U152" i="1" s="1"/>
  <c r="U154" i="1" s="1"/>
  <c r="AG81" i="1"/>
  <c r="AH81" i="1" s="1"/>
  <c r="AL81" i="1" s="1"/>
  <c r="AP81" i="1" s="1"/>
  <c r="AT81" i="1" s="1"/>
  <c r="AX81" i="1" s="1"/>
  <c r="BB81" i="1" s="1"/>
  <c r="BF81" i="1" s="1"/>
  <c r="BJ81" i="1" s="1"/>
  <c r="X81" i="1"/>
  <c r="X94" i="1" s="1"/>
  <c r="O83" i="1"/>
  <c r="O94" i="1" s="1"/>
  <c r="L94" i="1"/>
  <c r="L160" i="1" s="1"/>
  <c r="F105" i="1"/>
  <c r="I116" i="1"/>
  <c r="BG148" i="1"/>
  <c r="BG55" i="1"/>
  <c r="V116" i="1"/>
  <c r="V55" i="1"/>
  <c r="Q105" i="1"/>
  <c r="Q124" i="1" s="1"/>
  <c r="AY159" i="1"/>
  <c r="AY203" i="1"/>
  <c r="AV144" i="1"/>
  <c r="O103" i="1"/>
  <c r="AE110" i="1"/>
  <c r="AH110" i="1" s="1"/>
  <c r="X110" i="1"/>
  <c r="M145" i="1"/>
  <c r="AV165" i="1"/>
  <c r="AS176" i="1"/>
  <c r="AQ179" i="1"/>
  <c r="I55" i="1"/>
  <c r="I105" i="1" s="1"/>
  <c r="I124" i="1" s="1"/>
  <c r="AB105" i="1"/>
  <c r="AB124" i="1" s="1"/>
  <c r="AW105" i="1"/>
  <c r="AW124" i="1" s="1"/>
  <c r="AW118" i="1"/>
  <c r="AW120" i="1" s="1"/>
  <c r="BC159" i="1"/>
  <c r="BC203" i="1"/>
  <c r="AM160" i="1"/>
  <c r="AO160" i="1" s="1"/>
  <c r="X176" i="1"/>
  <c r="U179" i="1"/>
  <c r="Q157" i="1"/>
  <c r="Q146" i="1"/>
  <c r="M105" i="1"/>
  <c r="M124" i="1" s="1"/>
  <c r="W71" i="1"/>
  <c r="W39" i="1"/>
  <c r="V103" i="1"/>
  <c r="AF98" i="1"/>
  <c r="AF103" i="1" s="1"/>
  <c r="X98" i="1"/>
  <c r="W103" i="1"/>
  <c r="AG100" i="1"/>
  <c r="AG103" i="1" s="1"/>
  <c r="J101" i="1"/>
  <c r="AD101" i="1" s="1"/>
  <c r="AH101" i="1" s="1"/>
  <c r="AL101" i="1" s="1"/>
  <c r="AP101" i="1" s="1"/>
  <c r="AT101" i="1" s="1"/>
  <c r="AX101" i="1" s="1"/>
  <c r="BB101" i="1" s="1"/>
  <c r="BF101" i="1" s="1"/>
  <c r="BJ101" i="1" s="1"/>
  <c r="Z165" i="1"/>
  <c r="Z182" i="1" s="1"/>
  <c r="AB157" i="1"/>
  <c r="AB165" i="1" s="1"/>
  <c r="X172" i="1"/>
  <c r="BG179" i="1"/>
  <c r="AS175" i="1"/>
  <c r="AE148" i="1"/>
  <c r="AQ160" i="1"/>
  <c r="H179" i="1"/>
  <c r="AV179" i="1"/>
  <c r="BE176" i="1"/>
  <c r="AW176" i="1"/>
  <c r="BC160" i="1"/>
  <c r="N165" i="1"/>
  <c r="AA179" i="1"/>
  <c r="AI179" i="1"/>
  <c r="BD160" i="1"/>
  <c r="BD165" i="1" s="1"/>
  <c r="BD144" i="1"/>
  <c r="J98" i="1"/>
  <c r="W157" i="1"/>
  <c r="W165" i="1" s="1"/>
  <c r="P172" i="1"/>
  <c r="BI176" i="1"/>
  <c r="BC179" i="1"/>
  <c r="BI167" i="1"/>
  <c r="J169" i="1"/>
  <c r="P124" i="1" l="1"/>
  <c r="P108" i="1"/>
  <c r="AY108" i="1"/>
  <c r="AY112" i="1" s="1"/>
  <c r="AY116" i="1" s="1"/>
  <c r="BE160" i="1"/>
  <c r="AS179" i="1"/>
  <c r="W160" i="1"/>
  <c r="T105" i="1"/>
  <c r="T108" i="1" s="1"/>
  <c r="R179" i="1"/>
  <c r="AF159" i="1"/>
  <c r="AO108" i="1"/>
  <c r="AO112" i="1" s="1"/>
  <c r="AO116" i="1" s="1"/>
  <c r="S108" i="1"/>
  <c r="Q108" i="1"/>
  <c r="AR149" i="1"/>
  <c r="BD179" i="1"/>
  <c r="BD182" i="1" s="1"/>
  <c r="AW179" i="1"/>
  <c r="AV152" i="1"/>
  <c r="AV154" i="1" s="1"/>
  <c r="AQ105" i="1"/>
  <c r="AQ124" i="1" s="1"/>
  <c r="AH80" i="1"/>
  <c r="AL80" i="1" s="1"/>
  <c r="AP80" i="1" s="1"/>
  <c r="AT80" i="1" s="1"/>
  <c r="AX80" i="1" s="1"/>
  <c r="BB80" i="1" s="1"/>
  <c r="BF80" i="1" s="1"/>
  <c r="BJ80" i="1" s="1"/>
  <c r="Q152" i="1"/>
  <c r="Q154" i="1" s="1"/>
  <c r="AI152" i="1"/>
  <c r="BH108" i="1"/>
  <c r="BA105" i="1"/>
  <c r="AQ108" i="1"/>
  <c r="AQ112" i="1" s="1"/>
  <c r="AQ116" i="1" s="1"/>
  <c r="AS160" i="1"/>
  <c r="BD108" i="1"/>
  <c r="BH152" i="1"/>
  <c r="BH154" i="1" s="1"/>
  <c r="AS159" i="1"/>
  <c r="AS165" i="1" s="1"/>
  <c r="AS182" i="1" s="1"/>
  <c r="F108" i="1"/>
  <c r="BH165" i="1"/>
  <c r="AG159" i="1"/>
  <c r="AQ152" i="1"/>
  <c r="AH100" i="1"/>
  <c r="AL100" i="1" s="1"/>
  <c r="AP100" i="1" s="1"/>
  <c r="AT100" i="1" s="1"/>
  <c r="AX100" i="1" s="1"/>
  <c r="BB100" i="1" s="1"/>
  <c r="BF100" i="1" s="1"/>
  <c r="BJ100" i="1" s="1"/>
  <c r="AK108" i="1"/>
  <c r="AK112" i="1" s="1"/>
  <c r="AK116" i="1" s="1"/>
  <c r="BE108" i="1"/>
  <c r="BE112" i="1" s="1"/>
  <c r="BE116" i="1" s="1"/>
  <c r="BI175" i="1"/>
  <c r="BI179" i="1" s="1"/>
  <c r="AZ182" i="1"/>
  <c r="BH182" i="1"/>
  <c r="J172" i="1"/>
  <c r="J179" i="1" s="1"/>
  <c r="U124" i="1"/>
  <c r="U108" i="1"/>
  <c r="K108" i="1"/>
  <c r="BH112" i="1"/>
  <c r="BH116" i="1" s="1"/>
  <c r="AF160" i="1"/>
  <c r="AJ118" i="1"/>
  <c r="AJ120" i="1" s="1"/>
  <c r="AJ149" i="1"/>
  <c r="AJ152" i="1" s="1"/>
  <c r="AJ105" i="1"/>
  <c r="AJ124" i="1" s="1"/>
  <c r="AL35" i="1"/>
  <c r="AW157" i="1"/>
  <c r="AW165" i="1" s="1"/>
  <c r="AU165" i="1"/>
  <c r="AU182" i="1" s="1"/>
  <c r="S157" i="1"/>
  <c r="S165" i="1" s="1"/>
  <c r="Q165" i="1"/>
  <c r="Q182" i="1" s="1"/>
  <c r="G182" i="1"/>
  <c r="AG157" i="1"/>
  <c r="AG165" i="1" s="1"/>
  <c r="AE165" i="1"/>
  <c r="AE182" i="1" s="1"/>
  <c r="V165" i="1"/>
  <c r="V182" i="1" s="1"/>
  <c r="AD175" i="1"/>
  <c r="AD179" i="1" s="1"/>
  <c r="BG152" i="1"/>
  <c r="R149" i="1"/>
  <c r="R105" i="1"/>
  <c r="AM105" i="1"/>
  <c r="AM124" i="1" s="1"/>
  <c r="AM118" i="1"/>
  <c r="AM120" i="1" s="1"/>
  <c r="AK157" i="1"/>
  <c r="AI165" i="1"/>
  <c r="AI182" i="1" s="1"/>
  <c r="P179" i="1"/>
  <c r="X103" i="1"/>
  <c r="BG118" i="1"/>
  <c r="BG120" i="1" s="1"/>
  <c r="BG105" i="1"/>
  <c r="BG124" i="1" s="1"/>
  <c r="AA144" i="1"/>
  <c r="AA152" i="1" s="1"/>
  <c r="AA154" i="1" s="1"/>
  <c r="AA160" i="1"/>
  <c r="AB160" i="1" s="1"/>
  <c r="AA105" i="1"/>
  <c r="AQ165" i="1"/>
  <c r="AQ182" i="1" s="1"/>
  <c r="M152" i="1"/>
  <c r="M154" i="1" s="1"/>
  <c r="L143" i="1"/>
  <c r="L152" i="1" s="1"/>
  <c r="L154" i="1" s="1"/>
  <c r="I160" i="1"/>
  <c r="AW108" i="1"/>
  <c r="AW112" i="1" s="1"/>
  <c r="AW116" i="1" s="1"/>
  <c r="BG108" i="1"/>
  <c r="AE105" i="1"/>
  <c r="AE124" i="1" s="1"/>
  <c r="AS108" i="1"/>
  <c r="AS112" i="1" s="1"/>
  <c r="AS116" i="1" s="1"/>
  <c r="AF29" i="1"/>
  <c r="AH15" i="1"/>
  <c r="AL11" i="1"/>
  <c r="AN144" i="1"/>
  <c r="AN152" i="1" s="1"/>
  <c r="AN31" i="1"/>
  <c r="AN108" i="1" s="1"/>
  <c r="AL75" i="1"/>
  <c r="AH94" i="1"/>
  <c r="BI108" i="1"/>
  <c r="BI112" i="1" s="1"/>
  <c r="BI116" i="1" s="1"/>
  <c r="W116" i="1"/>
  <c r="W55" i="1"/>
  <c r="W105" i="1" s="1"/>
  <c r="AG39" i="1"/>
  <c r="AG55" i="1" s="1"/>
  <c r="X39" i="1"/>
  <c r="BC105" i="1"/>
  <c r="BC124" i="1" s="1"/>
  <c r="BC118" i="1"/>
  <c r="BC120" i="1" s="1"/>
  <c r="BA159" i="1"/>
  <c r="AG94" i="1"/>
  <c r="J21" i="1"/>
  <c r="J31" i="1" s="1"/>
  <c r="AD19" i="1"/>
  <c r="AM143" i="1"/>
  <c r="AM152" i="1" s="1"/>
  <c r="AM31" i="1"/>
  <c r="O116" i="1"/>
  <c r="O55" i="1"/>
  <c r="O105" i="1" s="1"/>
  <c r="O108" i="1" s="1"/>
  <c r="BE157" i="1"/>
  <c r="BC165" i="1"/>
  <c r="BC182" i="1" s="1"/>
  <c r="BD152" i="1"/>
  <c r="BD154" i="1" s="1"/>
  <c r="BE159" i="1"/>
  <c r="BD112" i="1"/>
  <c r="BD116" i="1" s="1"/>
  <c r="AZ118" i="1"/>
  <c r="AZ120" i="1" s="1"/>
  <c r="AZ149" i="1"/>
  <c r="AZ152" i="1" s="1"/>
  <c r="AZ105" i="1"/>
  <c r="AZ124" i="1" s="1"/>
  <c r="L105" i="1"/>
  <c r="AE160" i="1"/>
  <c r="R144" i="1"/>
  <c r="R152" i="1" s="1"/>
  <c r="R154" i="1" s="1"/>
  <c r="R160" i="1"/>
  <c r="S160" i="1" s="1"/>
  <c r="J71" i="1"/>
  <c r="AD59" i="1"/>
  <c r="AJ165" i="1"/>
  <c r="AJ182" i="1" s="1"/>
  <c r="I108" i="1"/>
  <c r="AI108" i="1"/>
  <c r="AH119" i="1"/>
  <c r="AL119" i="1" s="1"/>
  <c r="AP119" i="1" s="1"/>
  <c r="AT119" i="1" s="1"/>
  <c r="AX119" i="1" s="1"/>
  <c r="BB119" i="1" s="1"/>
  <c r="BF119" i="1" s="1"/>
  <c r="BJ119" i="1" s="1"/>
  <c r="AL110" i="1"/>
  <c r="AP110" i="1" s="1"/>
  <c r="AT110" i="1" s="1"/>
  <c r="AX110" i="1" s="1"/>
  <c r="BB110" i="1" s="1"/>
  <c r="BF110" i="1" s="1"/>
  <c r="BJ110" i="1" s="1"/>
  <c r="AM165" i="1"/>
  <c r="AM182" i="1" s="1"/>
  <c r="AO157" i="1"/>
  <c r="AQ154" i="1"/>
  <c r="AH29" i="1"/>
  <c r="AL25" i="1"/>
  <c r="AY165" i="1"/>
  <c r="AY182" i="1" s="1"/>
  <c r="BA157" i="1"/>
  <c r="S159" i="1"/>
  <c r="R165" i="1"/>
  <c r="R182" i="1" s="1"/>
  <c r="AY152" i="1"/>
  <c r="AY154" i="1" s="1"/>
  <c r="J94" i="1"/>
  <c r="AE103" i="1"/>
  <c r="AE143" i="1" s="1"/>
  <c r="AE152" i="1" s="1"/>
  <c r="AE154" i="1" s="1"/>
  <c r="AC55" i="1"/>
  <c r="AC105" i="1" s="1"/>
  <c r="AC108" i="1" s="1"/>
  <c r="AF149" i="1"/>
  <c r="AF105" i="1"/>
  <c r="AF124" i="1" s="1"/>
  <c r="AD94" i="1"/>
  <c r="J103" i="1"/>
  <c r="AD98" i="1"/>
  <c r="AR152" i="1"/>
  <c r="BC31" i="1"/>
  <c r="BC108" i="1" s="1"/>
  <c r="AO159" i="1"/>
  <c r="H108" i="1"/>
  <c r="AV182" i="1"/>
  <c r="BA175" i="1"/>
  <c r="BA179" i="1" s="1"/>
  <c r="X179" i="1"/>
  <c r="V149" i="1"/>
  <c r="V152" i="1" s="1"/>
  <c r="V154" i="1" s="1"/>
  <c r="V105" i="1"/>
  <c r="V124" i="1" s="1"/>
  <c r="N160" i="1"/>
  <c r="BG182" i="1"/>
  <c r="AB108" i="1"/>
  <c r="AK160" i="1"/>
  <c r="AB159" i="1"/>
  <c r="G105" i="1"/>
  <c r="G124" i="1" s="1"/>
  <c r="AF158" i="1"/>
  <c r="AF21" i="1"/>
  <c r="AF31" i="1" s="1"/>
  <c r="AF108" i="1" s="1"/>
  <c r="AF112" i="1" s="1"/>
  <c r="AF116" i="1" s="1"/>
  <c r="AF118" i="1" s="1"/>
  <c r="AF120" i="1" s="1"/>
  <c r="BI159" i="1"/>
  <c r="BI165" i="1" s="1"/>
  <c r="H159" i="1"/>
  <c r="H145" i="1"/>
  <c r="H152" i="1" s="1"/>
  <c r="H154" i="1" s="1"/>
  <c r="AU143" i="1"/>
  <c r="AU152" i="1" s="1"/>
  <c r="AU31" i="1"/>
  <c r="AU108" i="1" s="1"/>
  <c r="AR165" i="1"/>
  <c r="AR182" i="1" s="1"/>
  <c r="AR108" i="1"/>
  <c r="BI182" i="1" l="1"/>
  <c r="AG160" i="1"/>
  <c r="BA124" i="1"/>
  <c r="BA108" i="1"/>
  <c r="BA112" i="1" s="1"/>
  <c r="BA116" i="1" s="1"/>
  <c r="AF165" i="1"/>
  <c r="AF182" i="1" s="1"/>
  <c r="J105" i="1"/>
  <c r="J124" i="1" s="1"/>
  <c r="AM108" i="1"/>
  <c r="AM154" i="1" s="1"/>
  <c r="AK165" i="1"/>
  <c r="AK182" i="1" s="1"/>
  <c r="G108" i="1"/>
  <c r="AH39" i="1"/>
  <c r="AL39" i="1" s="1"/>
  <c r="AP39" i="1" s="1"/>
  <c r="AT39" i="1" s="1"/>
  <c r="AX39" i="1" s="1"/>
  <c r="BB39" i="1" s="1"/>
  <c r="BF39" i="1" s="1"/>
  <c r="BJ39" i="1" s="1"/>
  <c r="J108" i="1"/>
  <c r="AW182" i="1"/>
  <c r="BA165" i="1"/>
  <c r="BA182" i="1" s="1"/>
  <c r="AP75" i="1"/>
  <c r="AL94" i="1"/>
  <c r="AI154" i="1"/>
  <c r="AI112" i="1"/>
  <c r="AI116" i="1" s="1"/>
  <c r="AN154" i="1"/>
  <c r="AN112" i="1"/>
  <c r="AN116" i="1" s="1"/>
  <c r="V108" i="1"/>
  <c r="AA165" i="1"/>
  <c r="AA182" i="1" s="1"/>
  <c r="I159" i="1"/>
  <c r="H165" i="1"/>
  <c r="H182" i="1" s="1"/>
  <c r="AO165" i="1"/>
  <c r="AO182" i="1" s="1"/>
  <c r="R124" i="1"/>
  <c r="R108" i="1"/>
  <c r="BC154" i="1"/>
  <c r="BC112" i="1"/>
  <c r="BC116" i="1" s="1"/>
  <c r="AU154" i="1"/>
  <c r="AU112" i="1"/>
  <c r="AU116" i="1" s="1"/>
  <c r="L124" i="1"/>
  <c r="L108" i="1"/>
  <c r="X116" i="1"/>
  <c r="X55" i="1"/>
  <c r="X105" i="1" s="1"/>
  <c r="AE108" i="1"/>
  <c r="AE112" i="1" s="1"/>
  <c r="AE116" i="1" s="1"/>
  <c r="AE118" i="1" s="1"/>
  <c r="AE120" i="1" s="1"/>
  <c r="AH98" i="1"/>
  <c r="AD103" i="1"/>
  <c r="AH19" i="1"/>
  <c r="AD21" i="1"/>
  <c r="AD31" i="1" s="1"/>
  <c r="AD108" i="1" s="1"/>
  <c r="AD112" i="1" s="1"/>
  <c r="AD116" i="1" s="1"/>
  <c r="AD118" i="1" s="1"/>
  <c r="AD120" i="1" s="1"/>
  <c r="AG105" i="1"/>
  <c r="AZ108" i="1"/>
  <c r="AH55" i="1"/>
  <c r="AR154" i="1"/>
  <c r="AR112" i="1"/>
  <c r="AR116" i="1" s="1"/>
  <c r="AA124" i="1"/>
  <c r="AA108" i="1"/>
  <c r="AP25" i="1"/>
  <c r="AL29" i="1"/>
  <c r="BG112" i="1"/>
  <c r="BG116" i="1" s="1"/>
  <c r="BG154" i="1"/>
  <c r="AF144" i="1"/>
  <c r="AF152" i="1" s="1"/>
  <c r="AF154" i="1" s="1"/>
  <c r="AD71" i="1"/>
  <c r="AD105" i="1" s="1"/>
  <c r="AD124" i="1" s="1"/>
  <c r="AH59" i="1"/>
  <c r="BE165" i="1"/>
  <c r="BE182" i="1" s="1"/>
  <c r="W124" i="1"/>
  <c r="W108" i="1"/>
  <c r="AL15" i="1"/>
  <c r="AP11" i="1"/>
  <c r="AJ108" i="1"/>
  <c r="AL55" i="1"/>
  <c r="AP35" i="1"/>
  <c r="AM112" i="1" l="1"/>
  <c r="AM116" i="1" s="1"/>
  <c r="AZ154" i="1"/>
  <c r="AZ112" i="1"/>
  <c r="AZ116" i="1" s="1"/>
  <c r="AH103" i="1"/>
  <c r="AL98" i="1"/>
  <c r="AT75" i="1"/>
  <c r="AP94" i="1"/>
  <c r="AH118" i="1"/>
  <c r="X124" i="1"/>
  <c r="X108" i="1"/>
  <c r="AP55" i="1"/>
  <c r="AT35" i="1"/>
  <c r="AT25" i="1"/>
  <c r="AP29" i="1"/>
  <c r="AL19" i="1"/>
  <c r="AH21" i="1"/>
  <c r="AH31" i="1" s="1"/>
  <c r="AJ154" i="1"/>
  <c r="AJ112" i="1"/>
  <c r="AJ116" i="1" s="1"/>
  <c r="AG124" i="1"/>
  <c r="AG108" i="1"/>
  <c r="AG112" i="1" s="1"/>
  <c r="AG116" i="1" s="1"/>
  <c r="AG118" i="1" s="1"/>
  <c r="AG120" i="1" s="1"/>
  <c r="AL59" i="1"/>
  <c r="AH71" i="1"/>
  <c r="AP15" i="1"/>
  <c r="AT11" i="1"/>
  <c r="AH105" i="1" l="1"/>
  <c r="AH124" i="1" s="1"/>
  <c r="AX25" i="1"/>
  <c r="AT29" i="1"/>
  <c r="AT55" i="1"/>
  <c r="AX35" i="1"/>
  <c r="AX75" i="1"/>
  <c r="AT94" i="1"/>
  <c r="AL103" i="1"/>
  <c r="AP98" i="1"/>
  <c r="AT15" i="1"/>
  <c r="AX11" i="1"/>
  <c r="AH108" i="1"/>
  <c r="AL21" i="1"/>
  <c r="AL31" i="1" s="1"/>
  <c r="AP19" i="1"/>
  <c r="AL118" i="1"/>
  <c r="AH120" i="1"/>
  <c r="AP59" i="1"/>
  <c r="AL71" i="1"/>
  <c r="AL105" i="1" s="1"/>
  <c r="AL124" i="1" s="1"/>
  <c r="AL108" i="1" l="1"/>
  <c r="AL112" i="1" s="1"/>
  <c r="AL116" i="1" s="1"/>
  <c r="BB75" i="1"/>
  <c r="AX94" i="1"/>
  <c r="BB35" i="1"/>
  <c r="AX55" i="1"/>
  <c r="AL120" i="1"/>
  <c r="AP118" i="1"/>
  <c r="AT19" i="1"/>
  <c r="AP21" i="1"/>
  <c r="AP31" i="1" s="1"/>
  <c r="AH125" i="1"/>
  <c r="AH112" i="1"/>
  <c r="AH116" i="1" s="1"/>
  <c r="AT59" i="1"/>
  <c r="AP71" i="1"/>
  <c r="AX15" i="1"/>
  <c r="BB11" i="1"/>
  <c r="AP103" i="1"/>
  <c r="AT98" i="1"/>
  <c r="AX29" i="1"/>
  <c r="BB25" i="1"/>
  <c r="AP105" i="1" l="1"/>
  <c r="AP124" i="1" s="1"/>
  <c r="BB15" i="1"/>
  <c r="BF11" i="1"/>
  <c r="AX19" i="1"/>
  <c r="AT21" i="1"/>
  <c r="AT31" i="1" s="1"/>
  <c r="AT118" i="1"/>
  <c r="AP120" i="1"/>
  <c r="BF25" i="1"/>
  <c r="BB29" i="1"/>
  <c r="AX59" i="1"/>
  <c r="AT71" i="1"/>
  <c r="BB55" i="1"/>
  <c r="BF35" i="1"/>
  <c r="AT103" i="1"/>
  <c r="AX98" i="1"/>
  <c r="BB94" i="1"/>
  <c r="BF75" i="1"/>
  <c r="AT105" i="1" l="1"/>
  <c r="AT124" i="1" s="1"/>
  <c r="AP108" i="1"/>
  <c r="AP112" i="1" s="1"/>
  <c r="AP116" i="1" s="1"/>
  <c r="AX103" i="1"/>
  <c r="BB98" i="1"/>
  <c r="AT120" i="1"/>
  <c r="AX118" i="1"/>
  <c r="BF55" i="1"/>
  <c r="BJ35" i="1"/>
  <c r="BJ55" i="1" s="1"/>
  <c r="AT108" i="1"/>
  <c r="AT112" i="1" s="1"/>
  <c r="AT116" i="1" s="1"/>
  <c r="BB19" i="1"/>
  <c r="AX21" i="1"/>
  <c r="AX31" i="1" s="1"/>
  <c r="BB59" i="1"/>
  <c r="AX71" i="1"/>
  <c r="BJ75" i="1"/>
  <c r="BJ94" i="1" s="1"/>
  <c r="BF94" i="1"/>
  <c r="BF15" i="1"/>
  <c r="BJ11" i="1"/>
  <c r="BJ15" i="1" s="1"/>
  <c r="BJ25" i="1"/>
  <c r="BJ29" i="1" s="1"/>
  <c r="BF29" i="1"/>
  <c r="BF19" i="1" l="1"/>
  <c r="BB21" i="1"/>
  <c r="BB31" i="1" s="1"/>
  <c r="AX105" i="1"/>
  <c r="AX124" i="1" s="1"/>
  <c r="BB118" i="1"/>
  <c r="AX120" i="1"/>
  <c r="BB71" i="1"/>
  <c r="BF59" i="1"/>
  <c r="BB103" i="1"/>
  <c r="BF98" i="1"/>
  <c r="AX108" i="1" l="1"/>
  <c r="AX112" i="1" s="1"/>
  <c r="AX116" i="1" s="1"/>
  <c r="BB120" i="1"/>
  <c r="BF118" i="1"/>
  <c r="BJ98" i="1"/>
  <c r="BJ103" i="1" s="1"/>
  <c r="BF103" i="1"/>
  <c r="BJ19" i="1"/>
  <c r="BJ21" i="1" s="1"/>
  <c r="BJ31" i="1" s="1"/>
  <c r="BF21" i="1"/>
  <c r="BF31" i="1" s="1"/>
  <c r="BF71" i="1"/>
  <c r="BF105" i="1" s="1"/>
  <c r="BF124" i="1" s="1"/>
  <c r="BJ59" i="1"/>
  <c r="BJ71" i="1" s="1"/>
  <c r="BB105" i="1"/>
  <c r="BB124" i="1" s="1"/>
  <c r="BB108" i="1" l="1"/>
  <c r="BB112" i="1" s="1"/>
  <c r="BB116" i="1" s="1"/>
  <c r="BF108" i="1"/>
  <c r="BF112" i="1" s="1"/>
  <c r="BF116" i="1" s="1"/>
  <c r="BJ118" i="1"/>
  <c r="BJ120" i="1" s="1"/>
  <c r="BF120" i="1"/>
  <c r="BJ105" i="1"/>
  <c r="BJ124" i="1" s="1"/>
  <c r="BJ108" i="1" l="1"/>
  <c r="BJ112" i="1" s="1"/>
  <c r="BJ116" i="1" s="1"/>
</calcChain>
</file>

<file path=xl/comments1.xml><?xml version="1.0" encoding="utf-8"?>
<comments xmlns="http://schemas.openxmlformats.org/spreadsheetml/2006/main">
  <authors>
    <author>Osborne, Jane (Finance)</author>
    <author>Palmer, Jane</author>
    <author>004293</author>
    <author>Jane Palmer</author>
    <author>Macdonald</author>
  </authors>
  <commentList>
    <comment ref="AN11" authorId="0" shapeId="0">
      <text>
        <r>
          <rPr>
            <b/>
            <sz val="8"/>
            <color indexed="81"/>
            <rFont val="Tahoma"/>
            <family val="2"/>
          </rPr>
          <t>Osborne, Jane (Finance):</t>
        </r>
        <r>
          <rPr>
            <sz val="8"/>
            <color indexed="81"/>
            <rFont val="Tahoma"/>
            <family val="2"/>
          </rPr>
          <t xml:space="preserve">
transfer from general reserve up to BA16-210 then assumed adjustment for increased staff vacancy factor and adjustment to precept income also adjust general reserve transfer</t>
        </r>
      </text>
    </comment>
    <comment ref="AZ11" authorId="1" shapeId="0">
      <text>
        <r>
          <rPr>
            <b/>
            <sz val="8"/>
            <color indexed="81"/>
            <rFont val="Tahoma"/>
            <family val="2"/>
          </rPr>
          <t>Palmer, Jane:</t>
        </r>
        <r>
          <rPr>
            <sz val="8"/>
            <color indexed="81"/>
            <rFont val="Tahoma"/>
            <family val="2"/>
          </rPr>
          <t xml:space="preserve">
To balance affordability programme v6</t>
        </r>
      </text>
    </comment>
    <comment ref="G19" authorId="2" shapeId="0">
      <text>
        <r>
          <rPr>
            <b/>
            <sz val="10"/>
            <color indexed="81"/>
            <rFont val="Tahoma"/>
            <family val="2"/>
          </rPr>
          <t>004293:</t>
        </r>
        <r>
          <rPr>
            <sz val="10"/>
            <color indexed="81"/>
            <rFont val="Tahoma"/>
            <family val="2"/>
          </rPr>
          <t xml:space="preserve">
£100k for increase in insurance reserve - this was not required in 13/14 therefore £100k budgeted transfer not done in 13/14. </t>
        </r>
        <r>
          <rPr>
            <sz val="10"/>
            <color indexed="81"/>
            <rFont val="Tahoma"/>
            <family val="2"/>
          </rPr>
          <t xml:space="preserve">
Transfer to reserves  re replacement costs of vehicles written off during the year </t>
        </r>
      </text>
    </comment>
    <comment ref="L19" authorId="2" shapeId="0">
      <text>
        <r>
          <rPr>
            <b/>
            <sz val="10"/>
            <color indexed="81"/>
            <rFont val="Tahoma"/>
            <family val="2"/>
          </rPr>
          <t>004293:</t>
        </r>
        <r>
          <rPr>
            <sz val="10"/>
            <color indexed="81"/>
            <rFont val="Tahoma"/>
            <family val="2"/>
          </rPr>
          <t xml:space="preserve">
£100k for increase in insurance reserve - this was not required in 12/13 therefore £100k budgeted transfer not done in 12/13. </t>
        </r>
        <r>
          <rPr>
            <sz val="10"/>
            <color indexed="10"/>
            <rFont val="Tahoma"/>
            <family val="2"/>
          </rPr>
          <t xml:space="preserve">Will wait until the year end to see whether this is required in 13/14 rather than do with quarterly actual transfer.  </t>
        </r>
        <r>
          <rPr>
            <b/>
            <sz val="10"/>
            <color indexed="10"/>
            <rFont val="Tahoma"/>
            <family val="2"/>
          </rPr>
          <t>In June forecast have assumed that it will be done at the year end</t>
        </r>
        <r>
          <rPr>
            <sz val="10"/>
            <color indexed="81"/>
            <rFont val="Tahoma"/>
            <family val="2"/>
          </rPr>
          <t xml:space="preserve">
Transfer to reserves  re replacement costs of vehicles written off during the year </t>
        </r>
      </text>
    </comment>
    <comment ref="Q19" authorId="2" shapeId="0">
      <text>
        <r>
          <rPr>
            <b/>
            <sz val="10"/>
            <color indexed="81"/>
            <rFont val="Tahoma"/>
            <family val="2"/>
          </rPr>
          <t>004293:</t>
        </r>
        <r>
          <rPr>
            <sz val="10"/>
            <color indexed="81"/>
            <rFont val="Tahoma"/>
            <family val="2"/>
          </rPr>
          <t xml:space="preserve">
£100k for increase in insurance reserve - this was not required in 12/13 therefore £100k budgeted transfer not done in 12/13. </t>
        </r>
        <r>
          <rPr>
            <sz val="10"/>
            <color indexed="10"/>
            <rFont val="Tahoma"/>
            <family val="2"/>
          </rPr>
          <t xml:space="preserve">Will wait until the year end to see whether this is required in 13/14 rather than do with quarterly actual transfer. </t>
        </r>
        <r>
          <rPr>
            <sz val="10"/>
            <color indexed="81"/>
            <rFont val="Tahoma"/>
            <family val="2"/>
          </rPr>
          <t xml:space="preserve">
Transfer to reserves  re replacement costs of vehicles written off during the year £95
.548</t>
        </r>
      </text>
    </comment>
    <comment ref="V1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£640.268 to Revenue to fund increase in provisions
£59.938  to fund insuance replacement of vehicles w/o</t>
        </r>
      </text>
    </comment>
    <comment ref="AI19" authorId="1" shapeId="0">
      <text>
        <r>
          <rPr>
            <b/>
            <sz val="8"/>
            <color indexed="81"/>
            <rFont val="Tahoma"/>
            <family val="2"/>
          </rPr>
          <t>Palmer, Jane:</t>
        </r>
        <r>
          <rPr>
            <sz val="8"/>
            <color indexed="81"/>
            <rFont val="Tahoma"/>
            <family val="2"/>
          </rPr>
          <t xml:space="preserve">
£9k removed - not sure what it was?</t>
        </r>
      </text>
    </comment>
    <comment ref="D24" authorId="4" shapeId="0">
      <text>
        <r>
          <rPr>
            <b/>
            <sz val="8"/>
            <color indexed="81"/>
            <rFont val="Tahoma"/>
            <family val="2"/>
          </rPr>
          <t>Macdonald:</t>
        </r>
        <r>
          <rPr>
            <sz val="8"/>
            <color indexed="81"/>
            <rFont val="Tahoma"/>
            <family val="2"/>
          </rPr>
          <t xml:space="preserve">
on App D4 revenue tab take NYP fwd reserve item and RCCO item together and it matches this line</t>
        </r>
      </text>
    </comment>
    <comment ref="H27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 £100k transfer for Financial Investigation Employees
</t>
        </r>
      </text>
    </comment>
    <comment ref="V27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 £100k transfer for Financial Investigation Employees
 reduced by £25.379 because not enough income in the reserve
</t>
        </r>
      </text>
    </comment>
    <comment ref="AI37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£25k Cyber Crime Grant</t>
        </r>
      </text>
    </comment>
    <comment ref="G39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 £13k + £46k - to fund MASH one off capital costs DN53/2013
£3,207.048 Budgeted RCCO
£37.203 - capital cost of equipment re provision of Airwaves coverage Fulford Road
£3.720 Computers from ISD rolling programme OPCC
£50.0 E Commerce costs
£4.500 purchase of rat trap bike
£24.360 3 permanent vehicles for Intelligence Unit
£44.460 Scientific Support Vehicles Collaboration
</t>
        </r>
      </text>
    </comment>
    <comment ref="Q3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Increased by RCCO asset Management work £162.0 and £500 to relace lost capital grant MTFP25
Less £500k MTFP 28</t>
        </r>
      </text>
    </comment>
    <comment ref="AI3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£80k income received from Regional Collaboration for vehicle leasing re CSI officers towards replacement vehicles
£208k Safety Camera Van Operations (6 Vans) DN008/2014 - Revenue Contribution to Capital</t>
        </r>
      </text>
    </comment>
    <comment ref="AM3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£80k income received from Regional Collaboration for vehicle leasing re CSI officers towards replacement vehicles
JO version added BA16-112 and BA16-120</t>
        </r>
      </text>
    </comment>
    <comment ref="AQ3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£80k income received from Regional Collaboration for vehicle leasing re CSI officers towards replacement vehicles
</t>
        </r>
      </text>
    </comment>
    <comment ref="AU3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£80k income received from Regional Collaboration for vehicle leasing re CSI officers towards replacement vehicles
</t>
        </r>
      </text>
    </comment>
    <comment ref="AY3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£80k income received from Regional Collaboration for vehicle leasing re CSI officers towards replacement vehicles
</t>
        </r>
      </text>
    </comment>
    <comment ref="BC3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£80k income received from Regional Collaboration for vehicle leasing re CSI officers towards replacement vehicles
</t>
        </r>
      </text>
    </comment>
    <comment ref="BG3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£80k income received from Regional Collaboration for vehicle leasing re CSI officers towards replacement vehicles
</t>
        </r>
      </text>
    </comment>
    <comment ref="G43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Underspend 2013/14</t>
        </r>
      </text>
    </comment>
    <comment ref="N43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£10.944k to fund actual capital cost of ISD Equipment DN78 Police Led Prosecutions from Accounting treatment reserve - budgeted transfer to reserves in 14/15 to top back up (£18.267k to match estimated cost in DN but only £10.9k actually spent)</t>
        </r>
      </text>
    </comment>
    <comment ref="W43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£1,080.776 to Pensions deficit (to repay in 2015/16)
£2,027.064 to Pensions Deficit re capital underspend in 2014/15</t>
        </r>
      </text>
    </comment>
    <comment ref="AI43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Cyber Crime Grant
</t>
        </r>
      </text>
    </comment>
    <comment ref="AM43" authorId="1" shapeId="0">
      <text>
        <r>
          <rPr>
            <b/>
            <sz val="8"/>
            <color indexed="81"/>
            <rFont val="Tahoma"/>
            <family val="2"/>
          </rPr>
          <t>Palmer, Jane:</t>
        </r>
        <r>
          <rPr>
            <sz val="8"/>
            <color indexed="81"/>
            <rFont val="Tahoma"/>
            <family val="2"/>
          </rPr>
          <t xml:space="preserve">
Transfer of expected surplus from revenue budget</t>
        </r>
      </text>
    </comment>
    <comment ref="D51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I2 Intelligence Software</t>
        </r>
      </text>
    </comment>
    <comment ref="D59" authorId="4" shapeId="0">
      <text>
        <r>
          <rPr>
            <b/>
            <sz val="8"/>
            <color indexed="81"/>
            <rFont val="Tahoma"/>
            <family val="2"/>
          </rPr>
          <t>Macdonald:</t>
        </r>
        <r>
          <rPr>
            <sz val="8"/>
            <color indexed="81"/>
            <rFont val="Tahoma"/>
            <family val="2"/>
          </rPr>
          <t xml:space="preserve">
on App D4 revenue tab take NYP fwd reserve item and RCCO item together and it matches this line</t>
        </r>
      </text>
    </comment>
    <comment ref="I59" authorId="2" shapeId="0">
      <text>
        <r>
          <rPr>
            <b/>
            <sz val="8"/>
            <color indexed="81"/>
            <rFont val="Tahoma"/>
            <family val="2"/>
          </rPr>
          <t xml:space="preserve">004293:
</t>
        </r>
        <r>
          <rPr>
            <sz val="8"/>
            <color indexed="81"/>
            <rFont val="Tahoma"/>
            <family val="2"/>
          </rPr>
          <t xml:space="preserve">
£403.5k transfer from CRDP reserve to fund Origin staff transferred from Projects to revenue
</t>
        </r>
      </text>
    </comment>
    <comment ref="L59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£58.500 transfer of ASB innovation Bid Grant received </t>
        </r>
      </text>
    </comment>
    <comment ref="N59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£403.500k transfer to Accounting Treatment Reserve from Duties changes</t>
        </r>
      </text>
    </comment>
    <comment ref="U5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ASB PIF Bid Grant and Cyber Crime
£27.00 + £115.562</t>
        </r>
      </text>
    </comment>
    <comment ref="V5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£720.755 to Reveneu to fund revenue CRDP
</t>
        </r>
      </text>
    </comment>
    <comment ref="AI59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£266.689 transfer to Capital reserve ASB Hub grant</t>
        </r>
      </text>
    </comment>
    <comment ref="V77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Transfer to leave balance of £500k
</t>
        </r>
      </text>
    </comment>
    <comment ref="D80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JTU lease and Email arching transferrred from CRDP to Revenue</t>
        </r>
      </text>
    </comment>
    <comment ref="G80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£27.5 to carry forward budget for PNN Apps 
Transfers from 13/14 underspend Le Grande Depart £500k and Cold Case Review £500k</t>
        </r>
      </text>
    </comment>
    <comment ref="H80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£17.7 Leadership costs
£82k ISD Enterprise agreement difference between  budget and actual spend in 13/14
£119.1k  to fund Duties staff transferred from Projects</t>
        </r>
      </text>
    </comment>
    <comment ref="I80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£5k from PCC Community fund for Harrogate Traetment Centre in 12/13
£10.944k to fund actual capital cost of ISD Equipment DN78 Police Led Prosecutions from Accounting treatment reserve - budgeted transfer to reserves in 14/15 to top back up (£18.267k to match estimated cost in DN but only £10.9k actually spent)
£403.5k transfer from CRDP reserve to fund Origin staff transferred from Projects to revenue
</t>
        </r>
      </text>
    </comment>
    <comment ref="M80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Leadership £17.7
£183.3 to revenue ex £240k MS Enterprise agreements not spent in 12/13 to part fund addnl IT infrastucture costs (DN May 2013).
Future years and 15/16 shortfall covered by reduction in RCCO
£119.075k to fund Duties staffing changes - don't think this is required
</t>
        </r>
      </text>
    </comment>
    <comment ref="N80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£5k from PCC Community fund for Harrogate Traetment Centre in 12/13
£10.944k to fund actual capital cost of ISD Equipment DN78 Police Led Prosecutions from Accounting treatment reserve - budgeted transfer to reserves in 14/15 to top back up (£18.267k to match estimated cost in DN but only £10.9k actually spent)
£403.5k transfer from CRDP reserve to fund Origin staff transferred from Projects to revenue
</t>
        </r>
      </text>
    </comment>
    <comment ref="Q80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£27.5 to carry forward budget for PNN Apps 
Transfers from 13/14 underspend Le Grande Depart £500k and Cold Case Review £500k</t>
        </r>
      </text>
    </comment>
    <comment ref="R80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Leadership £17.7
Future years and 15/16 shortfall covered by reduction in RCCO</t>
        </r>
      </text>
    </comment>
    <comment ref="U80" authorId="2" shapeId="0">
      <text>
        <r>
          <rPr>
            <b/>
            <sz val="12"/>
            <color indexed="81"/>
            <rFont val="Tahoma"/>
            <family val="2"/>
          </rPr>
          <t>004293:</t>
        </r>
        <r>
          <rPr>
            <sz val="12"/>
            <color indexed="81"/>
            <rFont val="Tahoma"/>
            <family val="2"/>
          </rPr>
          <t xml:space="preserve">
£18.267 reduce surplus on Police Lead Prosecution and increase transfer to Accounting Treatment Reserve
£25.259 CBRN Agency budget  transferred to 15/16
£49.721 balance of CBRN budget 
£250.000 Well Being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0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£27.525 PNC App salary BA106
£56.700 balnce microsoft licences
£120.184 Duties staff
£500.000 Cold Case review
£80.330 TDF expenditure
</t>
        </r>
      </text>
    </comment>
    <comment ref="W80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£125.000 Transfer from Cost of change reserve to Accounting Treatment Reserve for "Evolve".  To be used in future years
£575.410+£85.317-£23.403 to LGPS pension deficit reserve</t>
        </r>
      </text>
    </comment>
    <comment ref="X80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Of this balance, £614.221 is earmarked and £130.8 is spare</t>
        </r>
      </text>
    </comment>
    <comment ref="AJ80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£120.184k </t>
        </r>
        <r>
          <rPr>
            <sz val="10"/>
            <color indexed="81"/>
            <rFont val="Tahoma"/>
            <family val="2"/>
          </rPr>
          <t xml:space="preserve">transfer to revenue to fund Duties staffing changes
£25 k transfer to fund CBRN post DDD7055 (was in 14/15)
£24.071 CBRN project
Evolve HR Consultant
</t>
        </r>
      </text>
    </comment>
    <comment ref="AK80" authorId="2" shape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v46 (per MP):</t>
        </r>
        <r>
          <rPr>
            <sz val="10"/>
            <color indexed="81"/>
            <rFont val="Tahoma"/>
            <family val="2"/>
          </rPr>
          <t xml:space="preserve">
£125k Well Being
£62.5k Evolve Project Team</t>
        </r>
      </text>
    </comment>
    <comment ref="AN80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transfer to rev enue to fund Duties staffing changes
£24.082k CBRN Project</t>
        </r>
      </text>
    </comment>
    <comment ref="AO80" authorId="2" shapeId="0">
      <text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Tahoma"/>
            <family val="2"/>
          </rPr>
          <t>v46 (per MP):</t>
        </r>
        <r>
          <rPr>
            <sz val="10"/>
            <color indexed="81"/>
            <rFont val="Tahoma"/>
            <family val="2"/>
          </rPr>
          <t xml:space="preserve">
£125k Well Being
£62.5k Evolve Project Team</t>
        </r>
      </text>
    </comment>
    <comment ref="G81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Underspend 2013/14</t>
        </r>
      </text>
    </comment>
    <comment ref="H81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£300k Operational Imperatives - transfer 
250k from Pinch point money - not required therefore transfer not done </t>
        </r>
      </text>
    </comment>
    <comment ref="R81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£250k from Pinch point money
£300k Operational Imperatives</t>
        </r>
      </text>
    </comment>
    <comment ref="V81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>13/14 Underspend  Bids</t>
        </r>
        <r>
          <rPr>
            <sz val="10"/>
            <color indexed="81"/>
            <rFont val="Tahoma"/>
            <family val="2"/>
          </rPr>
          <t xml:space="preserve">
£84.474  part of £110k underspend bid relating to firearms staff salaries 
£25.526 rest of £110k above</t>
        </r>
        <r>
          <rPr>
            <sz val="8"/>
            <color indexed="81"/>
            <rFont val="Tahoma"/>
            <family val="2"/>
          </rPr>
          <t xml:space="preserve">
£23.165 Nov 02 salary Finance bid temp post
£21.203 Nov 02 salary Legal safeguarding bid temp post
£13.810 Nov 02 salary Finance bid temp post
£2.000 legal overtime 
£5.000 Finance Temp staffing balance for ISD equipment etc
£15.000 ICT licences as result of extra posts agreed
£22.797 Legal and Safeguarding and Vulnerability
£63.000 ISD training request
£66.000 Rural and Cross Border Temporary STaff
£100.000 Crime Digital Forensics
£100.000 Crime Investigative Assistance Agency Staff
£184.000 Safeguarding &amp;Vulnerability  - MAPPA, Domestic Abuse, PVP
£.333 balance from underspend bids</t>
        </r>
      </text>
    </comment>
    <comment ref="W81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£49.000 transferred to the commissioned services reserve for 13/14 underspend 
£168.000 transferred to Governance
£300k to LGPS deficit reserve</t>
        </r>
      </text>
    </comment>
    <comment ref="AA81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transfer from reserves re pinch point money not required
£84.474  part of £110k underspend bid relating to firearms staff salaries </t>
        </r>
        <r>
          <rPr>
            <sz val="8"/>
            <color indexed="81"/>
            <rFont val="Tahoma"/>
            <family val="2"/>
          </rPr>
          <t xml:space="preserve">
£23.165 Nov 02 salary underspend bid temp post
£21.203 Nov 02 salary underspend bid temp post
£13.810 Nov 02 salary underspend bid temp post</t>
        </r>
      </text>
    </comment>
    <comment ref="D82" authorId="4" shapeId="0">
      <text>
        <r>
          <rPr>
            <b/>
            <sz val="8"/>
            <color indexed="81"/>
            <rFont val="Tahoma"/>
            <family val="2"/>
          </rPr>
          <t>Macdonald: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remember to check equal pay claims approved byjoanna - why are they hnot deducted from here??</t>
        </r>
      </text>
    </comment>
    <comment ref="D88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IFRS</t>
        </r>
      </text>
    </comment>
    <comment ref="U90" authorId="0" shapeId="0">
      <text>
        <r>
          <rPr>
            <b/>
            <sz val="8"/>
            <color indexed="81"/>
            <rFont val="Tahoma"/>
            <family val="2"/>
          </rPr>
          <t>Osborne, Jane (Finance):</t>
        </r>
        <r>
          <rPr>
            <sz val="8"/>
            <color indexed="81"/>
            <rFont val="Tahoma"/>
            <family val="2"/>
          </rPr>
          <t xml:space="preserve">
Transfer from Revenue to fund payment of LGPS deficit </t>
        </r>
      </text>
    </comment>
    <comment ref="V90" authorId="0" shapeId="0">
      <text>
        <r>
          <rPr>
            <b/>
            <sz val="8"/>
            <color indexed="81"/>
            <rFont val="Tahoma"/>
            <family val="2"/>
          </rPr>
          <t>Osborne, Jane (Finance):</t>
        </r>
        <r>
          <rPr>
            <sz val="8"/>
            <color indexed="81"/>
            <rFont val="Tahoma"/>
            <family val="2"/>
          </rPr>
          <t xml:space="preserve">
Transfer to revenue to fund payment of LGPS Pension deficit</t>
        </r>
      </text>
    </comment>
    <comment ref="W90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£1,080.776 from Major Capital (to repay in 2015/16)
£2,027.064 from Major Capital re capital underspend in 2014/15
£575.410 +£85.317-£23.403 from Accounting treatment</t>
        </r>
      </text>
    </comment>
    <comment ref="G91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Underspend 2013/14</t>
        </r>
      </text>
    </comment>
    <comment ref="N91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£47 to CRDP for MASH redundancy</t>
        </r>
      </text>
    </comment>
    <comment ref="S91" authorId="3" shapeId="0">
      <text>
        <r>
          <rPr>
            <b/>
            <sz val="8"/>
            <color indexed="81"/>
            <rFont val="Tahoma"/>
            <family val="2"/>
          </rPr>
          <t>Jane Palmer:</t>
        </r>
        <r>
          <rPr>
            <sz val="8"/>
            <color indexed="81"/>
            <rFont val="Tahoma"/>
            <family val="2"/>
          </rPr>
          <t xml:space="preserve">
£47 to CRDP for MASH redundancy</t>
        </r>
      </text>
    </comment>
    <comment ref="V91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£378.595 Pension and redundancy payments
</t>
        </r>
      </text>
    </comment>
    <comment ref="W91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£125.000 Transfer from Cost of change reserve to Accounting Treatment Reserve for "Evolve"
£300.000 balance left on priority spending reserve
</t>
        </r>
      </text>
    </comment>
    <comment ref="G98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£500k not in budget transfer to reserves re Transitional commissioning in 14/15
£14.575+12,541 Transfer for costs for Min of Justice grant on Commissioning already budgeted for in CC Budgets
£34.935 + 6017 Transfer for costs for Min of Justice grant on Commissioning already budgeted for in PCC Budget
</t>
        </r>
      </text>
    </comment>
    <comment ref="H98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 £19.689 set up costs of PCC website
</t>
        </r>
      </text>
    </comment>
    <comment ref="Q98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£500k not in budget transfer to reserves re Transitional commissioning in 14/15
</t>
        </r>
      </text>
    </comment>
    <comment ref="V98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£21.355 + £10.000 agredd transfers out of the Transitional Commissioning money in 14/15
</t>
        </r>
      </text>
    </comment>
    <comment ref="W98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£90.050 transfer earlier underspend balance to Governance reserve
</t>
        </r>
      </text>
    </comment>
    <comment ref="U99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£130.436 14/15 underspend 
</t>
        </r>
      </text>
    </comment>
    <comment ref="W99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£90.050 earlier years underspend balance transferred from PCC technical reserve
£168k 2013/14 underspend transferred from Prioirty Spend reserve</t>
        </r>
      </text>
    </comment>
    <comment ref="W100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£14k +£35k 13/14 underspend created moved from Priority Spending Reserve
</t>
        </r>
      </text>
    </comment>
    <comment ref="H101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£5k Harrogate Treatment Centre
£27.948 shortfall of PCC Partnership schemes
£84.905 Youth Justice Service
£87.386 Community Fund Initiatives - last forecast assumed the full £250k would be allocated 
</t>
        </r>
      </text>
    </comment>
    <comment ref="N101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£5k 
to Accounting Treatment Reserveund for Harrogate Traetment Centre in 12/13</t>
        </r>
      </text>
    </comment>
    <comment ref="U101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£84.905 transfer 13/14 accrual for substance abuse n ot required back into reserve
</t>
        </r>
      </text>
    </comment>
    <comment ref="V101" authorId="2" shapeId="0">
      <text>
        <r>
          <rPr>
            <b/>
            <sz val="8"/>
            <color indexed="81"/>
            <rFont val="Tahoma"/>
            <family val="2"/>
          </rPr>
          <t>004293:</t>
        </r>
        <r>
          <rPr>
            <sz val="8"/>
            <color indexed="81"/>
            <rFont val="Tahoma"/>
            <family val="2"/>
          </rPr>
          <t xml:space="preserve">
£242.242 transfer for 14/15 initiatives actually paid
£137.490 transfer for 13/14 payments paid in 14/15
£5.000 Harrogate treatment centre</t>
        </r>
      </text>
    </comment>
  </commentList>
</comments>
</file>

<file path=xl/sharedStrings.xml><?xml version="1.0" encoding="utf-8"?>
<sst xmlns="http://schemas.openxmlformats.org/spreadsheetml/2006/main" count="536" uniqueCount="178">
  <si>
    <t>ACTUAL TRANSFERS</t>
  </si>
  <si>
    <t>FORECAST TRANSFERS</t>
  </si>
  <si>
    <t>TRANSFERS TO REPORT</t>
  </si>
  <si>
    <t>RESERVES PROJECTIONS - MTFP v48.5 DRAFT</t>
  </si>
  <si>
    <t>Category</t>
  </si>
  <si>
    <t>Oracle</t>
  </si>
  <si>
    <t>Y/End</t>
  </si>
  <si>
    <t>Balance @</t>
  </si>
  <si>
    <t>Code</t>
  </si>
  <si>
    <t>Schedule</t>
  </si>
  <si>
    <t>Reserve</t>
  </si>
  <si>
    <t>31.3.2013</t>
  </si>
  <si>
    <t>Receipts</t>
  </si>
  <si>
    <t>Payments</t>
  </si>
  <si>
    <t>Transfers</t>
  </si>
  <si>
    <t>31.3.2014</t>
  </si>
  <si>
    <t>31.3.2015</t>
  </si>
  <si>
    <t>31.3.2016</t>
  </si>
  <si>
    <t>31.3.2017</t>
  </si>
  <si>
    <t>31.3.2018</t>
  </si>
  <si>
    <t>31.3.2019</t>
  </si>
  <si>
    <t>31.3.2020</t>
  </si>
  <si>
    <t>31.3.2021</t>
  </si>
  <si>
    <t>31.3.2022</t>
  </si>
  <si>
    <t>£'000</t>
  </si>
  <si>
    <t>General Reserve:</t>
  </si>
  <si>
    <t>S04</t>
  </si>
  <si>
    <t>General Balances</t>
  </si>
  <si>
    <t>Forecast underspend</t>
  </si>
  <si>
    <t>Sub Total</t>
  </si>
  <si>
    <t>Earmarked Long Term Reserve - Insurance Reserve:</t>
  </si>
  <si>
    <t>S10</t>
  </si>
  <si>
    <t>Insurance / Legal Costs</t>
  </si>
  <si>
    <t>Earmarked Reserves - Statutory Reserves:</t>
  </si>
  <si>
    <t>47600/610</t>
  </si>
  <si>
    <t>S11</t>
  </si>
  <si>
    <t>Misuse of Drugs Act 1971</t>
  </si>
  <si>
    <t>S28</t>
  </si>
  <si>
    <t>Incentivisation Reserve</t>
  </si>
  <si>
    <t>SUB TOTAL - GENERAL, LONG TERM and STATUTORY RESERVES</t>
  </si>
  <si>
    <t>Working Earmarked Reserves - Held for Capital Purposes:</t>
  </si>
  <si>
    <t>M01</t>
  </si>
  <si>
    <t xml:space="preserve">General Capital Grant </t>
  </si>
  <si>
    <t>Other Capital Grants</t>
  </si>
  <si>
    <t>47500/ 47501/ 47502/ 47503</t>
  </si>
  <si>
    <t>S05</t>
  </si>
  <si>
    <t>Capital Reserve  (RCCO)</t>
  </si>
  <si>
    <t>Business Development Plan (Capital)</t>
  </si>
  <si>
    <t>-</t>
  </si>
  <si>
    <t xml:space="preserve">47520/ 47521/ 47522/ 47523 </t>
  </si>
  <si>
    <t>S06</t>
  </si>
  <si>
    <t>Major Capital Developments</t>
  </si>
  <si>
    <t>Estimated 2015/16 revenue underspend</t>
  </si>
  <si>
    <t>S13</t>
  </si>
  <si>
    <t>Property and Facilities Transformation Programme</t>
  </si>
  <si>
    <t>47780 (pt)</t>
  </si>
  <si>
    <t>S12</t>
  </si>
  <si>
    <t>Priority Spending Initatives (part)</t>
  </si>
  <si>
    <t>47725(pt)</t>
  </si>
  <si>
    <t>S20</t>
  </si>
  <si>
    <t>Pending National Decisions (part)</t>
  </si>
  <si>
    <t>S08</t>
  </si>
  <si>
    <t>Reserve to fund Estates Strategy</t>
  </si>
  <si>
    <t>Sub Total = Capital funded by Reserves</t>
  </si>
  <si>
    <t>Working Earmarked Reserves - Held for Revenue CRDP Purposes:</t>
  </si>
  <si>
    <t>47550/ 47551/ 47553</t>
  </si>
  <si>
    <t>Revenue CRDP Reserve</t>
  </si>
  <si>
    <t>Revenue Grants</t>
  </si>
  <si>
    <t>Priority Spend (part)</t>
  </si>
  <si>
    <t>47745/ 47746/ 47748</t>
  </si>
  <si>
    <t>S22</t>
  </si>
  <si>
    <t>Leadership Reserve</t>
  </si>
  <si>
    <t>Capital funding used for NYP Forward</t>
  </si>
  <si>
    <t>Revenue funding from Major Capital Developments</t>
  </si>
  <si>
    <t>Sub Total = Revenue CRDP</t>
  </si>
  <si>
    <t>Working Earmarked Reserves - Short-Term Reserves: -</t>
  </si>
  <si>
    <t>S19</t>
  </si>
  <si>
    <t>Police Authority Development Fund</t>
  </si>
  <si>
    <t>Transitional Reserve</t>
  </si>
  <si>
    <t>S17</t>
  </si>
  <si>
    <t>Major Incident Reserve</t>
  </si>
  <si>
    <t>For unspecified future incidents</t>
  </si>
  <si>
    <t>S29</t>
  </si>
  <si>
    <t>Recruitment smoothing</t>
  </si>
  <si>
    <t>S18</t>
  </si>
  <si>
    <t>Safer Neighbourhood  Reserve</t>
  </si>
  <si>
    <t>47777/ 47778/ 47779</t>
  </si>
  <si>
    <t>Accounting Treatment Reserve</t>
  </si>
  <si>
    <t>Earmarked for specific items to be credited to revenue in future years</t>
  </si>
  <si>
    <t>S16</t>
  </si>
  <si>
    <t>Priority Spending Initiative (part)</t>
  </si>
  <si>
    <t>S09</t>
  </si>
  <si>
    <t>Resource Harmonisation Reserve</t>
  </si>
  <si>
    <t>Collaboration/Partnership Working  Reserve</t>
  </si>
  <si>
    <t>2004/2005 Development Reserve</t>
  </si>
  <si>
    <t>Police Reform</t>
  </si>
  <si>
    <t>Costs of Olympic Policing</t>
  </si>
  <si>
    <t>S25</t>
  </si>
  <si>
    <t>CRDP Delivery 2010/11</t>
  </si>
  <si>
    <t>LGPS Repayment Reserve</t>
  </si>
  <si>
    <t>47740/ 47741/ 47742</t>
  </si>
  <si>
    <t>S21</t>
  </si>
  <si>
    <t>Cost of Change Reserve</t>
  </si>
  <si>
    <t>For reducndancy etc costs relate to affordability programme</t>
  </si>
  <si>
    <t>S26</t>
  </si>
  <si>
    <t>2009/10 Delivery Reserve</t>
  </si>
  <si>
    <t>Working Earmarked Reserves - OPCC Short-Term Reserves: -</t>
  </si>
  <si>
    <t>47801/47800</t>
  </si>
  <si>
    <t>PCC Technical Reserve</t>
  </si>
  <si>
    <t>Balance of £500k for Transistional Commissioining costs</t>
  </si>
  <si>
    <t>47775/ 47803/ 47804</t>
  </si>
  <si>
    <t>Governance and PCC Development Reserve</t>
  </si>
  <si>
    <t>Accumulated underspends on OPCC budget</t>
  </si>
  <si>
    <t>Commissioned Services Reserve</t>
  </si>
  <si>
    <t>Accumulated underspends on Commissioning budget</t>
  </si>
  <si>
    <t>S30</t>
  </si>
  <si>
    <t>PCC Community Fund</t>
  </si>
  <si>
    <t>SUB TOTAL - WORKING EARMARKED RESERVES</t>
  </si>
  <si>
    <t>TOTAL - EARMARKED RESERVES</t>
  </si>
  <si>
    <t>S03</t>
  </si>
  <si>
    <t>Capital Receipts Unapplied</t>
  </si>
  <si>
    <t>TOTAL - RESERVES</t>
  </si>
  <si>
    <t>Internal Borrowing against Reserves</t>
  </si>
  <si>
    <t>GRAND TOTAL</t>
  </si>
  <si>
    <t>Earmarked Reserves held for Capital</t>
  </si>
  <si>
    <t>TOTAL RESERVES AVAILABLE FOR CAPITAL</t>
  </si>
  <si>
    <t>TOTAL RESERVES AND PROVISIONS</t>
  </si>
  <si>
    <t>Memo Note: If the 2007/08 forecast outturn is realised at year end the closing 2007/08 position will be £18,789.2 + £5,117 = £23,906.2</t>
  </si>
  <si>
    <t xml:space="preserve"> </t>
  </si>
  <si>
    <t>Funding Requirements</t>
  </si>
  <si>
    <t>Mobile Data Stage Two</t>
  </si>
  <si>
    <t>Management of Police Information Scoping</t>
  </si>
  <si>
    <t>Business Continuity Planning Scoping</t>
  </si>
  <si>
    <t>Scoping work for those Projects marked in red on Appendix D4</t>
  </si>
  <si>
    <t>Movements from SPBVB 15/1/07</t>
  </si>
  <si>
    <t>NPT Reserve movements</t>
  </si>
  <si>
    <t>Government Grants</t>
  </si>
  <si>
    <t>Estates funding omitted</t>
  </si>
  <si>
    <t>Summary</t>
  </si>
  <si>
    <t>Transfers from Revenue</t>
  </si>
  <si>
    <t>Transfers to Revenue</t>
  </si>
  <si>
    <t>Revenue CDRP Funding (Funding Sch)</t>
  </si>
  <si>
    <t>RCCO</t>
  </si>
  <si>
    <t>Spend charged to provision/reserve</t>
  </si>
  <si>
    <t>Grants Received (Funding Sch)</t>
  </si>
  <si>
    <t>Capital CDRP Funding (Funding Sch)</t>
  </si>
  <si>
    <t>General Reserve</t>
  </si>
  <si>
    <t>Difference - s/be NIL</t>
  </si>
  <si>
    <t>Reconciliation to Revenue</t>
  </si>
  <si>
    <t>Net</t>
  </si>
  <si>
    <t>Insurance reserve/provision</t>
  </si>
  <si>
    <t>Revenue Projects (excl grants)</t>
  </si>
  <si>
    <t>Other Reserves/Provisions</t>
  </si>
  <si>
    <t>Vehicle proceeds to CRDP</t>
  </si>
  <si>
    <t>Revenue underspend</t>
  </si>
  <si>
    <t>Revenue</t>
  </si>
  <si>
    <t>Annual Total</t>
  </si>
  <si>
    <t>Actual/Budgeted 86300</t>
  </si>
  <si>
    <t>Actual/Budgeted 87200</t>
  </si>
  <si>
    <t>Actual/Budgeted Projects trf 87200</t>
  </si>
  <si>
    <t>Actual/Budgeted Projects trf 87300 PCC</t>
  </si>
  <si>
    <t>Actual/Budgeted 87300</t>
  </si>
  <si>
    <t>Actual budgetd General reserve transfers</t>
  </si>
  <si>
    <t>Actual/Budgeted 87120</t>
  </si>
  <si>
    <t>Underspend</t>
  </si>
  <si>
    <t>Unbudgetted - projects trf</t>
  </si>
  <si>
    <t>Unbudgetted - other</t>
  </si>
  <si>
    <t>Expected spend on LGPS</t>
  </si>
  <si>
    <t>Net to/from reserves</t>
  </si>
  <si>
    <t>Unbudgetted transfers</t>
  </si>
  <si>
    <t>Carry forward</t>
  </si>
  <si>
    <t>Addnl Olympic Police</t>
  </si>
  <si>
    <t>Surplus</t>
  </si>
  <si>
    <t>Community Fund</t>
  </si>
  <si>
    <t>Actg Treamtent</t>
  </si>
  <si>
    <t>PCC technical</t>
  </si>
  <si>
    <t>Projects Unbudgetted Transfers</t>
  </si>
  <si>
    <t>NYP Forwardv38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</si>
</sst>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\ ;[Red]\(#,##0.0\);&quot;- &quot;"/>
    <numFmt numFmtId="165" formatCode="0.000"/>
    <numFmt numFmtId="166" formatCode="_-* #,##0.0_-;\-* #,##0.0_-;_-* &quot;-&quot;??_-;_-@_-"/>
    <numFmt numFmtId="167" formatCode="#,##0.000\ ;[Red]\(#,##0.000\);&quot;- &quot;"/>
    <numFmt numFmtId="168" formatCode="_-* #,##0.000_-;\-* #,##0.00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4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11"/>
      <color rgb="FF006100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1"/>
      <color indexed="55"/>
      <name val="Arial"/>
      <family val="2"/>
    </font>
    <font>
      <sz val="11"/>
      <color indexed="55"/>
      <name val="Arial"/>
      <family val="2"/>
    </font>
    <font>
      <i/>
      <sz val="1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indexed="10"/>
      <name val="Tahoma"/>
      <family val="2"/>
    </font>
    <font>
      <b/>
      <sz val="10"/>
      <color indexed="10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199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/>
    <xf numFmtId="164" fontId="3" fillId="0" borderId="0" xfId="0" applyNumberFormat="1" applyFont="1" applyFill="1" applyAlignment="1"/>
    <xf numFmtId="164" fontId="2" fillId="0" borderId="0" xfId="0" applyNumberFormat="1" applyFont="1" applyFill="1"/>
    <xf numFmtId="0" fontId="4" fillId="0" borderId="0" xfId="0" applyFont="1" applyFill="1"/>
    <xf numFmtId="0" fontId="4" fillId="3" borderId="0" xfId="0" applyFont="1" applyFill="1"/>
    <xf numFmtId="164" fontId="2" fillId="4" borderId="0" xfId="0" applyNumberFormat="1" applyFont="1" applyFill="1"/>
    <xf numFmtId="14" fontId="2" fillId="0" borderId="0" xfId="0" applyNumberFormat="1" applyFont="1" applyFill="1" applyAlignment="1">
      <alignment horizontal="center"/>
    </xf>
    <xf numFmtId="0" fontId="2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64" fontId="3" fillId="3" borderId="0" xfId="0" applyNumberFormat="1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164" fontId="5" fillId="3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5" fillId="5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4" fontId="2" fillId="3" borderId="0" xfId="0" applyNumberFormat="1" applyFont="1" applyFill="1"/>
    <xf numFmtId="164" fontId="2" fillId="5" borderId="0" xfId="0" applyNumberFormat="1" applyFont="1" applyFill="1"/>
    <xf numFmtId="0" fontId="6" fillId="0" borderId="0" xfId="0" applyFont="1" applyFill="1"/>
    <xf numFmtId="164" fontId="2" fillId="3" borderId="0" xfId="0" applyNumberFormat="1" applyFont="1" applyFill="1" applyAlignment="1"/>
    <xf numFmtId="164" fontId="2" fillId="4" borderId="0" xfId="0" applyNumberFormat="1" applyFont="1" applyFill="1" applyAlignment="1"/>
    <xf numFmtId="164" fontId="2" fillId="5" borderId="0" xfId="0" applyNumberFormat="1" applyFont="1" applyFill="1" applyAlignment="1"/>
    <xf numFmtId="164" fontId="2" fillId="0" borderId="0" xfId="0" applyNumberFormat="1" applyFont="1" applyFill="1" applyAlignment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 wrapText="1"/>
    </xf>
    <xf numFmtId="165" fontId="2" fillId="0" borderId="0" xfId="0" applyNumberFormat="1" applyFont="1" applyFill="1"/>
    <xf numFmtId="165" fontId="2" fillId="3" borderId="0" xfId="0" applyNumberFormat="1" applyFont="1" applyFill="1" applyAlignment="1"/>
    <xf numFmtId="165" fontId="2" fillId="6" borderId="0" xfId="0" quotePrefix="1" applyNumberFormat="1" applyFont="1" applyFill="1" applyAlignment="1"/>
    <xf numFmtId="165" fontId="2" fillId="4" borderId="0" xfId="0" applyNumberFormat="1" applyFont="1" applyFill="1" applyAlignment="1"/>
    <xf numFmtId="165" fontId="2" fillId="4" borderId="0" xfId="0" quotePrefix="1" applyNumberFormat="1" applyFont="1" applyFill="1" applyAlignment="1"/>
    <xf numFmtId="165" fontId="2" fillId="5" borderId="0" xfId="0" applyNumberFormat="1" applyFont="1" applyFill="1" applyAlignment="1"/>
    <xf numFmtId="165" fontId="2" fillId="0" borderId="0" xfId="0" quotePrefix="1" applyNumberFormat="1" applyFont="1" applyFill="1" applyAlignment="1"/>
    <xf numFmtId="164" fontId="2" fillId="0" borderId="0" xfId="0" quotePrefix="1" applyNumberFormat="1" applyFont="1" applyFill="1" applyAlignment="1"/>
    <xf numFmtId="164" fontId="2" fillId="3" borderId="0" xfId="0" quotePrefix="1" applyNumberFormat="1" applyFont="1" applyFill="1" applyAlignment="1"/>
    <xf numFmtId="164" fontId="2" fillId="4" borderId="0" xfId="0" quotePrefix="1" applyNumberFormat="1" applyFont="1" applyFill="1" applyAlignment="1"/>
    <xf numFmtId="164" fontId="3" fillId="3" borderId="1" xfId="0" applyNumberFormat="1" applyFont="1" applyFill="1" applyBorder="1" applyAlignment="1"/>
    <xf numFmtId="164" fontId="3" fillId="4" borderId="1" xfId="0" applyNumberFormat="1" applyFont="1" applyFill="1" applyBorder="1" applyAlignment="1"/>
    <xf numFmtId="164" fontId="3" fillId="5" borderId="1" xfId="0" applyNumberFormat="1" applyFont="1" applyFill="1" applyBorder="1" applyAlignment="1"/>
    <xf numFmtId="164" fontId="3" fillId="0" borderId="1" xfId="0" applyNumberFormat="1" applyFont="1" applyFill="1" applyBorder="1" applyAlignment="1"/>
    <xf numFmtId="166" fontId="6" fillId="0" borderId="0" xfId="1" applyNumberFormat="1" applyFont="1" applyFill="1"/>
    <xf numFmtId="164" fontId="7" fillId="6" borderId="0" xfId="2" quotePrefix="1" applyNumberFormat="1" applyFill="1" applyAlignment="1"/>
    <xf numFmtId="0" fontId="2" fillId="0" borderId="0" xfId="0" quotePrefix="1" applyFont="1" applyFill="1" applyAlignment="1">
      <alignment horizontal="center"/>
    </xf>
    <xf numFmtId="167" fontId="2" fillId="3" borderId="0" xfId="0" quotePrefix="1" applyNumberFormat="1" applyFont="1" applyFill="1" applyAlignment="1"/>
    <xf numFmtId="167" fontId="2" fillId="4" borderId="0" xfId="0" quotePrefix="1" applyNumberFormat="1" applyFont="1" applyFill="1" applyAlignment="1"/>
    <xf numFmtId="164" fontId="2" fillId="6" borderId="0" xfId="0" applyNumberFormat="1" applyFont="1" applyFill="1" applyAlignment="1"/>
    <xf numFmtId="164" fontId="2" fillId="6" borderId="0" xfId="0" quotePrefix="1" applyNumberFormat="1" applyFont="1" applyFill="1" applyAlignment="1"/>
    <xf numFmtId="0" fontId="6" fillId="0" borderId="0" xfId="0" applyFont="1" applyFill="1" applyAlignment="1">
      <alignment wrapText="1"/>
    </xf>
    <xf numFmtId="166" fontId="2" fillId="0" borderId="0" xfId="1" applyNumberFormat="1" applyFont="1" applyFill="1" applyAlignment="1">
      <alignment horizontal="center"/>
    </xf>
    <xf numFmtId="166" fontId="2" fillId="0" borderId="0" xfId="1" applyNumberFormat="1" applyFont="1" applyFill="1"/>
    <xf numFmtId="166" fontId="2" fillId="3" borderId="0" xfId="1" applyNumberFormat="1" applyFont="1" applyFill="1" applyAlignment="1"/>
    <xf numFmtId="166" fontId="2" fillId="3" borderId="0" xfId="1" quotePrefix="1" applyNumberFormat="1" applyFont="1" applyFill="1" applyAlignment="1"/>
    <xf numFmtId="166" fontId="2" fillId="4" borderId="0" xfId="1" applyNumberFormat="1" applyFont="1" applyFill="1" applyAlignment="1"/>
    <xf numFmtId="166" fontId="2" fillId="4" borderId="0" xfId="1" quotePrefix="1" applyNumberFormat="1" applyFont="1" applyFill="1" applyAlignment="1"/>
    <xf numFmtId="166" fontId="2" fillId="5" borderId="0" xfId="1" applyNumberFormat="1" applyFont="1" applyFill="1" applyAlignment="1"/>
    <xf numFmtId="166" fontId="2" fillId="0" borderId="0" xfId="1" quotePrefix="1" applyNumberFormat="1" applyFont="1" applyFill="1" applyAlignment="1"/>
    <xf numFmtId="164" fontId="2" fillId="3" borderId="0" xfId="1" quotePrefix="1" applyNumberFormat="1" applyFont="1" applyFill="1" applyAlignment="1"/>
    <xf numFmtId="164" fontId="2" fillId="5" borderId="0" xfId="1" applyNumberFormat="1" applyFont="1" applyFill="1" applyAlignment="1"/>
    <xf numFmtId="166" fontId="2" fillId="0" borderId="0" xfId="1" applyNumberFormat="1" applyFont="1" applyFill="1" applyAlignment="1">
      <alignment horizontal="center" wrapText="1"/>
    </xf>
    <xf numFmtId="164" fontId="2" fillId="0" borderId="0" xfId="1" quotePrefix="1" applyNumberFormat="1" applyFont="1" applyFill="1" applyAlignment="1"/>
    <xf numFmtId="168" fontId="2" fillId="0" borderId="0" xfId="1" applyNumberFormat="1" applyFont="1" applyFill="1" applyAlignment="1">
      <alignment horizontal="center"/>
    </xf>
    <xf numFmtId="168" fontId="2" fillId="0" borderId="0" xfId="1" applyNumberFormat="1" applyFont="1" applyFill="1" applyAlignment="1">
      <alignment horizontal="center" wrapText="1"/>
    </xf>
    <xf numFmtId="168" fontId="2" fillId="0" borderId="0" xfId="1" applyNumberFormat="1" applyFont="1" applyFill="1"/>
    <xf numFmtId="168" fontId="2" fillId="3" borderId="0" xfId="1" applyNumberFormat="1" applyFont="1" applyFill="1" applyAlignment="1"/>
    <xf numFmtId="168" fontId="7" fillId="6" borderId="0" xfId="2" quotePrefix="1" applyNumberFormat="1" applyFill="1" applyAlignment="1"/>
    <xf numFmtId="168" fontId="2" fillId="4" borderId="0" xfId="1" applyNumberFormat="1" applyFont="1" applyFill="1" applyAlignment="1"/>
    <xf numFmtId="168" fontId="2" fillId="4" borderId="0" xfId="1" quotePrefix="1" applyNumberFormat="1" applyFont="1" applyFill="1" applyAlignment="1"/>
    <xf numFmtId="168" fontId="2" fillId="5" borderId="0" xfId="1" applyNumberFormat="1" applyFont="1" applyFill="1" applyAlignment="1"/>
    <xf numFmtId="168" fontId="2" fillId="0" borderId="0" xfId="1" quotePrefix="1" applyNumberFormat="1" applyFont="1" applyFill="1" applyAlignment="1"/>
    <xf numFmtId="168" fontId="2" fillId="3" borderId="0" xfId="1" quotePrefix="1" applyNumberFormat="1" applyFont="1" applyFill="1" applyAlignment="1"/>
    <xf numFmtId="168" fontId="2" fillId="0" borderId="0" xfId="0" quotePrefix="1" applyNumberFormat="1" applyFont="1" applyFill="1" applyAlignment="1"/>
    <xf numFmtId="168" fontId="2" fillId="6" borderId="0" xfId="1" quotePrefix="1" applyNumberFormat="1" applyFont="1" applyFill="1" applyAlignment="1"/>
    <xf numFmtId="164" fontId="2" fillId="0" borderId="0" xfId="1" applyNumberFormat="1" applyFont="1" applyFill="1"/>
    <xf numFmtId="166" fontId="2" fillId="6" borderId="0" xfId="1" quotePrefix="1" applyNumberFormat="1" applyFont="1" applyFill="1" applyAlignment="1"/>
    <xf numFmtId="166" fontId="2" fillId="0" borderId="0" xfId="0" quotePrefix="1" applyNumberFormat="1" applyFont="1" applyFill="1" applyAlignment="1"/>
    <xf numFmtId="168" fontId="2" fillId="0" borderId="0" xfId="1" applyNumberFormat="1" applyFont="1" applyFill="1" applyAlignment="1"/>
    <xf numFmtId="166" fontId="3" fillId="0" borderId="0" xfId="1" applyNumberFormat="1" applyFont="1" applyFill="1" applyAlignment="1">
      <alignment horizontal="center"/>
    </xf>
    <xf numFmtId="166" fontId="3" fillId="3" borderId="1" xfId="1" applyNumberFormat="1" applyFont="1" applyFill="1" applyBorder="1" applyAlignment="1"/>
    <xf numFmtId="166" fontId="3" fillId="4" borderId="1" xfId="1" applyNumberFormat="1" applyFont="1" applyFill="1" applyBorder="1" applyAlignment="1"/>
    <xf numFmtId="166" fontId="3" fillId="5" borderId="1" xfId="1" applyNumberFormat="1" applyFont="1" applyFill="1" applyBorder="1" applyAlignment="1"/>
    <xf numFmtId="166" fontId="3" fillId="0" borderId="1" xfId="1" applyNumberFormat="1" applyFont="1" applyFill="1" applyBorder="1" applyAlignment="1"/>
    <xf numFmtId="164" fontId="3" fillId="5" borderId="1" xfId="1" applyNumberFormat="1" applyFont="1" applyFill="1" applyBorder="1" applyAlignment="1"/>
    <xf numFmtId="164" fontId="3" fillId="0" borderId="1" xfId="1" applyNumberFormat="1" applyFont="1" applyFill="1" applyBorder="1" applyAlignment="1"/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 wrapText="1"/>
    </xf>
    <xf numFmtId="0" fontId="6" fillId="0" borderId="0" xfId="0" applyFont="1" applyFill="1" applyAlignment="1"/>
    <xf numFmtId="0" fontId="2" fillId="0" borderId="0" xfId="0" applyFont="1" applyFill="1" applyAlignment="1"/>
    <xf numFmtId="167" fontId="2" fillId="6" borderId="0" xfId="0" applyNumberFormat="1" applyFont="1" applyFill="1" applyAlignment="1"/>
    <xf numFmtId="167" fontId="2" fillId="3" borderId="0" xfId="0" applyNumberFormat="1" applyFont="1" applyFill="1" applyAlignment="1"/>
    <xf numFmtId="0" fontId="3" fillId="0" borderId="0" xfId="0" applyFont="1" applyFill="1"/>
    <xf numFmtId="168" fontId="3" fillId="0" borderId="0" xfId="1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center" wrapText="1"/>
    </xf>
    <xf numFmtId="168" fontId="6" fillId="0" borderId="0" xfId="1" applyNumberFormat="1" applyFont="1" applyFill="1"/>
    <xf numFmtId="168" fontId="3" fillId="0" borderId="0" xfId="1" applyNumberFormat="1" applyFont="1" applyFill="1"/>
    <xf numFmtId="168" fontId="3" fillId="3" borderId="0" xfId="1" applyNumberFormat="1" applyFont="1" applyFill="1" applyAlignment="1"/>
    <xf numFmtId="168" fontId="3" fillId="3" borderId="0" xfId="1" quotePrefix="1" applyNumberFormat="1" applyFont="1" applyFill="1" applyAlignment="1"/>
    <xf numFmtId="168" fontId="3" fillId="4" borderId="0" xfId="1" applyNumberFormat="1" applyFont="1" applyFill="1" applyAlignment="1"/>
    <xf numFmtId="168" fontId="3" fillId="4" borderId="0" xfId="1" quotePrefix="1" applyNumberFormat="1" applyFont="1" applyFill="1" applyAlignment="1"/>
    <xf numFmtId="168" fontId="3" fillId="5" borderId="0" xfId="1" applyNumberFormat="1" applyFont="1" applyFill="1" applyAlignment="1"/>
    <xf numFmtId="168" fontId="3" fillId="0" borderId="0" xfId="1" quotePrefix="1" applyNumberFormat="1" applyFont="1" applyFill="1" applyAlignment="1"/>
    <xf numFmtId="168" fontId="3" fillId="5" borderId="2" xfId="1" applyNumberFormat="1" applyFont="1" applyFill="1" applyBorder="1" applyAlignment="1"/>
    <xf numFmtId="168" fontId="3" fillId="0" borderId="2" xfId="0" quotePrefix="1" applyNumberFormat="1" applyFont="1" applyFill="1" applyBorder="1" applyAlignment="1"/>
    <xf numFmtId="164" fontId="3" fillId="5" borderId="2" xfId="1" applyNumberFormat="1" applyFont="1" applyFill="1" applyBorder="1" applyAlignment="1"/>
    <xf numFmtId="164" fontId="3" fillId="0" borderId="2" xfId="0" applyNumberFormat="1" applyFont="1" applyFill="1" applyBorder="1" applyAlignment="1"/>
    <xf numFmtId="166" fontId="3" fillId="0" borderId="0" xfId="1" applyNumberFormat="1" applyFont="1" applyFill="1"/>
    <xf numFmtId="166" fontId="3" fillId="3" borderId="0" xfId="1" applyNumberFormat="1" applyFont="1" applyFill="1" applyAlignment="1"/>
    <xf numFmtId="166" fontId="3" fillId="3" borderId="0" xfId="1" quotePrefix="1" applyNumberFormat="1" applyFont="1" applyFill="1" applyAlignment="1"/>
    <xf numFmtId="166" fontId="3" fillId="4" borderId="0" xfId="1" applyNumberFormat="1" applyFont="1" applyFill="1" applyAlignment="1"/>
    <xf numFmtId="166" fontId="3" fillId="4" borderId="0" xfId="1" quotePrefix="1" applyNumberFormat="1" applyFont="1" applyFill="1" applyAlignment="1"/>
    <xf numFmtId="166" fontId="3" fillId="5" borderId="0" xfId="1" applyNumberFormat="1" applyFont="1" applyFill="1" applyAlignment="1"/>
    <xf numFmtId="166" fontId="3" fillId="0" borderId="0" xfId="1" quotePrefix="1" applyNumberFormat="1" applyFont="1" applyFill="1" applyAlignment="1"/>
    <xf numFmtId="164" fontId="3" fillId="3" borderId="0" xfId="1" quotePrefix="1" applyNumberFormat="1" applyFont="1" applyFill="1" applyAlignment="1"/>
    <xf numFmtId="166" fontId="3" fillId="5" borderId="2" xfId="1" applyNumberFormat="1" applyFont="1" applyFill="1" applyBorder="1" applyAlignment="1"/>
    <xf numFmtId="164" fontId="3" fillId="0" borderId="2" xfId="0" quotePrefix="1" applyNumberFormat="1" applyFont="1" applyFill="1" applyBorder="1" applyAlignment="1"/>
    <xf numFmtId="164" fontId="3" fillId="5" borderId="2" xfId="0" applyNumberFormat="1" applyFont="1" applyFill="1" applyBorder="1" applyAlignment="1"/>
    <xf numFmtId="166" fontId="3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66" fontId="2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166" fontId="3" fillId="0" borderId="0" xfId="1" applyNumberFormat="1" applyFont="1" applyFill="1" applyBorder="1"/>
    <xf numFmtId="166" fontId="3" fillId="3" borderId="0" xfId="1" applyNumberFormat="1" applyFont="1" applyFill="1" applyBorder="1" applyAlignment="1"/>
    <xf numFmtId="166" fontId="3" fillId="3" borderId="0" xfId="1" quotePrefix="1" applyNumberFormat="1" applyFont="1" applyFill="1" applyBorder="1" applyAlignment="1"/>
    <xf numFmtId="166" fontId="3" fillId="4" borderId="0" xfId="1" applyNumberFormat="1" applyFont="1" applyFill="1" applyBorder="1" applyAlignment="1"/>
    <xf numFmtId="166" fontId="3" fillId="4" borderId="0" xfId="1" quotePrefix="1" applyNumberFormat="1" applyFont="1" applyFill="1" applyBorder="1" applyAlignment="1"/>
    <xf numFmtId="166" fontId="3" fillId="5" borderId="0" xfId="1" applyNumberFormat="1" applyFont="1" applyFill="1" applyBorder="1" applyAlignment="1"/>
    <xf numFmtId="166" fontId="3" fillId="0" borderId="0" xfId="1" quotePrefix="1" applyNumberFormat="1" applyFont="1" applyFill="1" applyBorder="1" applyAlignment="1"/>
    <xf numFmtId="164" fontId="3" fillId="3" borderId="0" xfId="1" quotePrefix="1" applyNumberFormat="1" applyFont="1" applyFill="1" applyBorder="1" applyAlignment="1"/>
    <xf numFmtId="164" fontId="3" fillId="0" borderId="0" xfId="0" quotePrefix="1" applyNumberFormat="1" applyFont="1" applyFill="1" applyBorder="1" applyAlignment="1"/>
    <xf numFmtId="164" fontId="3" fillId="5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164" fontId="3" fillId="3" borderId="2" xfId="0" applyNumberFormat="1" applyFont="1" applyFill="1" applyBorder="1" applyAlignment="1"/>
    <xf numFmtId="164" fontId="3" fillId="4" borderId="2" xfId="0" applyNumberFormat="1" applyFont="1" applyFill="1" applyBorder="1" applyAlignment="1"/>
    <xf numFmtId="164" fontId="3" fillId="5" borderId="3" xfId="0" applyNumberFormat="1" applyFont="1" applyFill="1" applyBorder="1" applyAlignment="1"/>
    <xf numFmtId="164" fontId="3" fillId="0" borderId="3" xfId="0" applyNumberFormat="1" applyFont="1" applyFill="1" applyBorder="1" applyAlignment="1"/>
    <xf numFmtId="164" fontId="3" fillId="3" borderId="0" xfId="0" applyNumberFormat="1" applyFont="1" applyFill="1" applyAlignment="1"/>
    <xf numFmtId="164" fontId="3" fillId="3" borderId="0" xfId="0" applyNumberFormat="1" applyFont="1" applyFill="1"/>
    <xf numFmtId="164" fontId="3" fillId="5" borderId="0" xfId="0" applyNumberFormat="1" applyFont="1" applyFill="1" applyAlignment="1"/>
    <xf numFmtId="164" fontId="3" fillId="0" borderId="0" xfId="0" applyNumberFormat="1" applyFont="1" applyFill="1"/>
    <xf numFmtId="0" fontId="8" fillId="0" borderId="0" xfId="0" applyFont="1" applyFill="1"/>
    <xf numFmtId="0" fontId="9" fillId="0" borderId="0" xfId="0" applyFont="1" applyFill="1"/>
    <xf numFmtId="164" fontId="2" fillId="3" borderId="0" xfId="0" quotePrefix="1" applyNumberFormat="1" applyFont="1" applyFill="1" applyAlignment="1">
      <alignment horizontal="center"/>
    </xf>
    <xf numFmtId="164" fontId="2" fillId="0" borderId="0" xfId="0" quotePrefix="1" applyNumberFormat="1" applyFont="1" applyFill="1" applyAlignment="1">
      <alignment horizontal="center"/>
    </xf>
    <xf numFmtId="164" fontId="3" fillId="3" borderId="1" xfId="0" applyNumberFormat="1" applyFont="1" applyFill="1" applyBorder="1"/>
    <xf numFmtId="164" fontId="3" fillId="5" borderId="1" xfId="0" applyNumberFormat="1" applyFont="1" applyFill="1" applyBorder="1"/>
    <xf numFmtId="164" fontId="3" fillId="0" borderId="1" xfId="0" applyNumberFormat="1" applyFont="1" applyFill="1" applyBorder="1"/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 wrapText="1"/>
    </xf>
    <xf numFmtId="3" fontId="2" fillId="0" borderId="0" xfId="0" applyNumberFormat="1" applyFont="1" applyFill="1" applyAlignment="1"/>
    <xf numFmtId="167" fontId="2" fillId="3" borderId="0" xfId="0" applyNumberFormat="1" applyFont="1" applyFill="1" applyBorder="1" applyAlignment="1"/>
    <xf numFmtId="164" fontId="2" fillId="3" borderId="0" xfId="0" applyNumberFormat="1" applyFont="1" applyFill="1" applyBorder="1" applyAlignment="1"/>
    <xf numFmtId="167" fontId="2" fillId="5" borderId="0" xfId="0" applyNumberFormat="1" applyFont="1" applyFill="1" applyBorder="1" applyAlignment="1"/>
    <xf numFmtId="164" fontId="2" fillId="0" borderId="0" xfId="0" applyNumberFormat="1" applyFont="1" applyFill="1" applyBorder="1" applyAlignment="1"/>
    <xf numFmtId="164" fontId="2" fillId="5" borderId="0" xfId="0" applyNumberFormat="1" applyFont="1" applyFill="1" applyBorder="1" applyAlignment="1"/>
    <xf numFmtId="3" fontId="2" fillId="0" borderId="0" xfId="0" applyNumberFormat="1" applyFont="1" applyFill="1"/>
    <xf numFmtId="3" fontId="3" fillId="0" borderId="0" xfId="0" applyNumberFormat="1" applyFont="1" applyFill="1" applyAlignment="1"/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Border="1"/>
    <xf numFmtId="3" fontId="3" fillId="0" borderId="0" xfId="0" applyNumberFormat="1" applyFont="1" applyFill="1"/>
    <xf numFmtId="164" fontId="2" fillId="3" borderId="2" xfId="0" applyNumberFormat="1" applyFont="1" applyFill="1" applyBorder="1" applyAlignment="1"/>
    <xf numFmtId="164" fontId="2" fillId="0" borderId="2" xfId="0" applyNumberFormat="1" applyFont="1" applyFill="1" applyBorder="1" applyAlignment="1"/>
    <xf numFmtId="164" fontId="3" fillId="3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164" fontId="10" fillId="3" borderId="0" xfId="0" applyNumberFormat="1" applyFont="1" applyFill="1"/>
    <xf numFmtId="164" fontId="10" fillId="0" borderId="0" xfId="0" applyNumberFormat="1" applyFont="1" applyFill="1"/>
    <xf numFmtId="0" fontId="2" fillId="0" borderId="0" xfId="0" applyFont="1" applyFill="1" applyAlignment="1">
      <alignment horizontal="right"/>
    </xf>
    <xf numFmtId="164" fontId="11" fillId="3" borderId="0" xfId="0" applyNumberFormat="1" applyFont="1" applyFill="1"/>
    <xf numFmtId="164" fontId="11" fillId="0" borderId="0" xfId="0" applyNumberFormat="1" applyFont="1" applyFill="1"/>
    <xf numFmtId="164" fontId="2" fillId="7" borderId="0" xfId="0" applyNumberFormat="1" applyFont="1" applyFill="1"/>
    <xf numFmtId="164" fontId="11" fillId="5" borderId="0" xfId="0" applyNumberFormat="1" applyFont="1" applyFill="1"/>
    <xf numFmtId="164" fontId="11" fillId="3" borderId="4" xfId="0" applyNumberFormat="1" applyFont="1" applyFill="1" applyBorder="1"/>
    <xf numFmtId="167" fontId="2" fillId="3" borderId="0" xfId="0" applyNumberFormat="1" applyFont="1" applyFill="1"/>
    <xf numFmtId="164" fontId="2" fillId="3" borderId="4" xfId="0" applyNumberFormat="1" applyFont="1" applyFill="1" applyBorder="1"/>
    <xf numFmtId="164" fontId="11" fillId="0" borderId="4" xfId="0" applyNumberFormat="1" applyFont="1" applyFill="1" applyBorder="1"/>
    <xf numFmtId="167" fontId="2" fillId="7" borderId="0" xfId="0" applyNumberFormat="1" applyFont="1" applyFill="1"/>
    <xf numFmtId="164" fontId="2" fillId="0" borderId="4" xfId="0" applyNumberFormat="1" applyFont="1" applyFill="1" applyBorder="1"/>
    <xf numFmtId="164" fontId="12" fillId="0" borderId="0" xfId="0" applyNumberFormat="1" applyFont="1" applyFill="1"/>
    <xf numFmtId="164" fontId="12" fillId="3" borderId="0" xfId="0" applyNumberFormat="1" applyFont="1" applyFill="1"/>
    <xf numFmtId="164" fontId="2" fillId="3" borderId="5" xfId="0" applyNumberFormat="1" applyFont="1" applyFill="1" applyBorder="1"/>
    <xf numFmtId="164" fontId="2" fillId="0" borderId="5" xfId="0" applyNumberFormat="1" applyFont="1" applyFill="1" applyBorder="1"/>
    <xf numFmtId="0" fontId="2" fillId="0" borderId="0" xfId="0" applyFont="1" applyFill="1" applyAlignment="1">
      <alignment wrapText="1"/>
    </xf>
    <xf numFmtId="164" fontId="2" fillId="3" borderId="0" xfId="0" applyNumberFormat="1" applyFont="1" applyFill="1" applyAlignment="1">
      <alignment wrapText="1"/>
    </xf>
    <xf numFmtId="164" fontId="2" fillId="0" borderId="0" xfId="0" applyNumberFormat="1" applyFont="1" applyFill="1" applyAlignment="1">
      <alignment wrapText="1"/>
    </xf>
    <xf numFmtId="164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Notes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ept_Dates"/>
      <sheetName val="Pensions_Provision"/>
      <sheetName val="Capital_Grant_Deferred"/>
      <sheetName val="Vehicles"/>
      <sheetName val="Cap_Anal"/>
      <sheetName val="Cap_Outturn"/>
      <sheetName val="HO_Grants"/>
      <sheetName val="Funding"/>
      <sheetName val="Credit_Ceiling"/>
      <sheetName val="Debt_Anal"/>
      <sheetName val="Staffing_Levels"/>
      <sheetName val="BVCOP_WPunt"/>
      <sheetName val="RevAccount"/>
      <sheetName val="SSAP_24"/>
      <sheetName val="Drs_Crs"/>
      <sheetName val="£40,000+"/>
      <sheetName val="BS_WPaper"/>
      <sheetName val="ConBalSheet"/>
      <sheetName val="Reserves_Summary"/>
      <sheetName val="MoveReserves"/>
      <sheetName val="CashFlow"/>
      <sheetName val="AssetManRevAc"/>
      <sheetName val="HO_ACPO_Grants"/>
      <sheetName val="Stock_Anal"/>
      <sheetName val="Adve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G2" t="str">
            <v>£</v>
          </cell>
          <cell r="H2" t="str">
            <v>£</v>
          </cell>
        </row>
        <row r="3">
          <cell r="C3" t="str">
            <v>[A]</v>
          </cell>
          <cell r="D3" t="str">
            <v>FORCE</v>
          </cell>
        </row>
        <row r="4">
          <cell r="D4" t="str">
            <v>Expenditure</v>
          </cell>
        </row>
        <row r="5">
          <cell r="E5" t="str">
            <v>Employees</v>
          </cell>
        </row>
        <row r="6">
          <cell r="F6" t="str">
            <v>Salaries and Wages</v>
          </cell>
          <cell r="G6">
            <v>60293774.959999993</v>
          </cell>
        </row>
        <row r="7">
          <cell r="F7" t="str">
            <v>Pensions</v>
          </cell>
          <cell r="G7">
            <v>21530762.260000002</v>
          </cell>
        </row>
        <row r="8">
          <cell r="F8" t="str">
            <v xml:space="preserve">       Less Contributions</v>
          </cell>
          <cell r="G8">
            <v>-5044201.58</v>
          </cell>
          <cell r="H8">
            <v>16486560.680000002</v>
          </cell>
        </row>
        <row r="9">
          <cell r="F9" t="str">
            <v>Indirect Employee Costs</v>
          </cell>
          <cell r="G9">
            <v>4080360.45</v>
          </cell>
        </row>
        <row r="10">
          <cell r="H10">
            <v>80860696.090000004</v>
          </cell>
        </row>
        <row r="11">
          <cell r="E11" t="str">
            <v>Buildings and Premises</v>
          </cell>
          <cell r="H11">
            <v>2413247.4700000002</v>
          </cell>
        </row>
        <row r="12">
          <cell r="E12" t="str">
            <v>Transport</v>
          </cell>
          <cell r="H12">
            <v>2322241.42</v>
          </cell>
        </row>
        <row r="13">
          <cell r="E13" t="str">
            <v>Supplies and Services</v>
          </cell>
          <cell r="G13">
            <v>17928862.710000001</v>
          </cell>
          <cell r="H13">
            <v>13193373.819999998</v>
          </cell>
        </row>
        <row r="14">
          <cell r="E14" t="str">
            <v>Capital Charges</v>
          </cell>
          <cell r="H14">
            <v>553178</v>
          </cell>
        </row>
        <row r="15">
          <cell r="E15" t="str">
            <v>Contributions to/(from) Provisions</v>
          </cell>
        </row>
        <row r="16">
          <cell r="D16" t="str">
            <v>Gross Expenditure</v>
          </cell>
          <cell r="H16">
            <v>99342736.799999997</v>
          </cell>
        </row>
        <row r="18">
          <cell r="D18" t="str">
            <v>Income</v>
          </cell>
          <cell r="H18">
            <v>-4299585.59</v>
          </cell>
        </row>
        <row r="19">
          <cell r="D19" t="str">
            <v>FORCE NET EXPENDITURE</v>
          </cell>
          <cell r="H19">
            <v>95043151.209999993</v>
          </cell>
        </row>
        <row r="21">
          <cell r="C21" t="str">
            <v>[B]</v>
          </cell>
          <cell r="D21" t="str">
            <v>AUTHORITY</v>
          </cell>
        </row>
        <row r="22">
          <cell r="D22" t="str">
            <v>Members Costs</v>
          </cell>
          <cell r="H22">
            <v>168637.74</v>
          </cell>
        </row>
        <row r="23">
          <cell r="D23" t="str">
            <v>External Audit Fees</v>
          </cell>
          <cell r="H23">
            <v>80214</v>
          </cell>
        </row>
        <row r="24">
          <cell r="D24" t="str">
            <v>Purchased Services, Subscriptions, etc.</v>
          </cell>
          <cell r="H24">
            <v>519475.82999999996</v>
          </cell>
        </row>
        <row r="25">
          <cell r="D25" t="str">
            <v>AUTHORITY NET EXPENDITURE</v>
          </cell>
          <cell r="G25">
            <v>18697190.280000001</v>
          </cell>
          <cell r="H25">
            <v>768327.57</v>
          </cell>
        </row>
        <row r="27">
          <cell r="C27" t="str">
            <v>NET COST OF SERVICES</v>
          </cell>
          <cell r="H27">
            <v>95811478.779999986</v>
          </cell>
        </row>
        <row r="29">
          <cell r="C29" t="str">
            <v>[C]</v>
          </cell>
          <cell r="D29" t="str">
            <v>FINANCING ITEMS</v>
          </cell>
        </row>
        <row r="30">
          <cell r="D30" t="str">
            <v>Interest on Balances</v>
          </cell>
          <cell r="G30">
            <v>-926918.12</v>
          </cell>
        </row>
        <row r="31">
          <cell r="D31" t="str">
            <v>Asset Management Revenue Account (note 3)</v>
          </cell>
        </row>
        <row r="32">
          <cell r="D32" t="str">
            <v>FINANCING NET EXPENDITURE</v>
          </cell>
          <cell r="H32">
            <v>-926918.12</v>
          </cell>
        </row>
        <row r="33">
          <cell r="C33" t="str">
            <v>NET OPERATING EXPENDITURE</v>
          </cell>
          <cell r="H33">
            <v>94884560.659999996</v>
          </cell>
        </row>
        <row r="34">
          <cell r="D34" t="str">
            <v>Transfers to and from Reserves</v>
          </cell>
        </row>
        <row r="35">
          <cell r="E35" t="str">
            <v>Pensions Reserve</v>
          </cell>
        </row>
        <row r="36">
          <cell r="E36" t="str">
            <v>Insurance/Legal Costs Reserve</v>
          </cell>
        </row>
        <row r="37">
          <cell r="E37" t="str">
            <v>Capital Reserve</v>
          </cell>
        </row>
        <row r="38">
          <cell r="E38" t="str">
            <v>Other Reserves</v>
          </cell>
        </row>
        <row r="39">
          <cell r="E39" t="str">
            <v>Repayment of External Loans (note 8)</v>
          </cell>
        </row>
        <row r="40">
          <cell r="C40" t="str">
            <v>TOTAL NET EXPENDITURE to be met by Precept and Government Grants</v>
          </cell>
          <cell r="H40">
            <v>94884560.659999996</v>
          </cell>
        </row>
        <row r="42">
          <cell r="C42" t="str">
            <v>[D]</v>
          </cell>
          <cell r="D42" t="str">
            <v>SOURCES OF FINANCE</v>
          </cell>
        </row>
        <row r="43">
          <cell r="D43" t="str">
            <v>Home Office Grants</v>
          </cell>
          <cell r="H43">
            <v>47657689.160000004</v>
          </cell>
        </row>
        <row r="44">
          <cell r="D44" t="str">
            <v>Revenue Support Grant</v>
          </cell>
          <cell r="G44">
            <v>57030769.160000004</v>
          </cell>
          <cell r="H44">
            <v>9373080</v>
          </cell>
        </row>
        <row r="45">
          <cell r="D45" t="str">
            <v>National Non-Domestic Rates</v>
          </cell>
          <cell r="H45">
            <v>17172974</v>
          </cell>
        </row>
        <row r="46">
          <cell r="D46" t="str">
            <v>Precept Income (note 4)</v>
          </cell>
          <cell r="G46">
            <v>34407335.299999997</v>
          </cell>
          <cell r="H46">
            <v>17234361.300000001</v>
          </cell>
        </row>
        <row r="47">
          <cell r="D47" t="str">
            <v>TOTAL GRANTS, PRECEPTS AND RATES</v>
          </cell>
          <cell r="H47">
            <v>91438104.459999993</v>
          </cell>
        </row>
        <row r="48">
          <cell r="D48" t="str">
            <v>SURPLUS/DEFICIT(-) FOR THE YEAR</v>
          </cell>
          <cell r="H48">
            <v>-3446456.200000003</v>
          </cell>
        </row>
        <row r="50">
          <cell r="C50" t="str">
            <v>[E]</v>
          </cell>
          <cell r="D50" t="str">
            <v>GENERAL BALANCES</v>
          </cell>
        </row>
        <row r="51">
          <cell r="D51" t="str">
            <v>Revenue Balances at the Beginning of the Year</v>
          </cell>
          <cell r="H51">
            <v>2249320.7400000282</v>
          </cell>
        </row>
        <row r="52">
          <cell r="D52" t="str">
            <v>Surplus/Deficit(-) for Year</v>
          </cell>
          <cell r="H52">
            <v>-3446456.200000003</v>
          </cell>
        </row>
        <row r="53">
          <cell r="D53" t="str">
            <v>REVENUE BALANCES AT THE END OF THE YEAR</v>
          </cell>
          <cell r="H53">
            <v>-1197135.4599999748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K211"/>
  <sheetViews>
    <sheetView tabSelected="1" topLeftCell="B1" zoomScale="70" zoomScaleNormal="70" zoomScaleSheetLayoutView="70" workbookViewId="0">
      <pane xSplit="3" ySplit="7" topLeftCell="AH40" activePane="bottomRight" state="frozen"/>
      <selection activeCell="B1" sqref="B1"/>
      <selection pane="topRight" activeCell="E1" sqref="E1"/>
      <selection pane="bottomLeft" activeCell="B8" sqref="B8"/>
      <selection pane="bottomRight" activeCell="D2" sqref="D2"/>
    </sheetView>
  </sheetViews>
  <sheetFormatPr defaultRowHeight="12.75" customHeight="1" x14ac:dyDescent="0.2"/>
  <cols>
    <col min="1" max="1" width="9.7109375" style="1" hidden="1" customWidth="1"/>
    <col min="2" max="2" width="29.5703125" style="2" hidden="1" customWidth="1"/>
    <col min="3" max="3" width="8" style="1" customWidth="1"/>
    <col min="4" max="4" width="71.5703125" style="3" customWidth="1"/>
    <col min="5" max="5" width="20.7109375" style="3" customWidth="1"/>
    <col min="6" max="9" width="11.85546875" style="10" hidden="1" customWidth="1"/>
    <col min="10" max="10" width="14.28515625" style="10" hidden="1" customWidth="1"/>
    <col min="11" max="15" width="12.7109375" style="5" hidden="1" customWidth="1"/>
    <col min="16" max="16" width="13.28515625" style="5" hidden="1" customWidth="1"/>
    <col min="17" max="19" width="12.5703125" style="5" hidden="1" customWidth="1"/>
    <col min="20" max="23" width="11.85546875" style="10" hidden="1" customWidth="1"/>
    <col min="24" max="24" width="14.28515625" style="10" hidden="1" customWidth="1"/>
    <col min="25" max="29" width="12.7109375" style="5" hidden="1" customWidth="1"/>
    <col min="30" max="30" width="13.28515625" style="5" hidden="1" customWidth="1"/>
    <col min="31" max="33" width="11.7109375" style="5" hidden="1" customWidth="1"/>
    <col min="34" max="34" width="13.28515625" style="5" bestFit="1" customWidth="1"/>
    <col min="35" max="35" width="13.42578125" style="5" customWidth="1"/>
    <col min="36" max="36" width="14.5703125" style="5" customWidth="1"/>
    <col min="37" max="37" width="12.85546875" style="5" customWidth="1"/>
    <col min="38" max="38" width="13.42578125" style="5" customWidth="1"/>
    <col min="39" max="39" width="13.85546875" style="5" customWidth="1"/>
    <col min="40" max="40" width="13" style="5" customWidth="1"/>
    <col min="41" max="41" width="15.140625" style="5" customWidth="1"/>
    <col min="42" max="42" width="13.28515625" style="5" customWidth="1"/>
    <col min="43" max="44" width="13" style="5" customWidth="1"/>
    <col min="45" max="45" width="12.7109375" style="5" customWidth="1"/>
    <col min="46" max="46" width="14.42578125" style="5" customWidth="1"/>
    <col min="47" max="47" width="13.140625" style="5" customWidth="1"/>
    <col min="48" max="48" width="13.85546875" style="5" customWidth="1"/>
    <col min="49" max="49" width="14.140625" style="5" customWidth="1"/>
    <col min="50" max="51" width="13" style="5" customWidth="1"/>
    <col min="52" max="52" width="13.42578125" style="5" customWidth="1"/>
    <col min="53" max="53" width="12.140625" style="5" customWidth="1"/>
    <col min="54" max="54" width="13.140625" style="5" customWidth="1"/>
    <col min="55" max="55" width="14" style="5" customWidth="1"/>
    <col min="56" max="56" width="14.28515625" style="5" customWidth="1"/>
    <col min="57" max="57" width="12.140625" style="5" customWidth="1"/>
    <col min="58" max="58" width="13.5703125" style="5" customWidth="1"/>
    <col min="59" max="59" width="13.140625" style="5" customWidth="1"/>
    <col min="60" max="60" width="13.42578125" style="5" customWidth="1"/>
    <col min="61" max="62" width="13.7109375" style="5" customWidth="1"/>
    <col min="63" max="16384" width="9.140625" style="3"/>
  </cols>
  <sheetData>
    <row r="1" spans="1:62" ht="12.75" customHeight="1" x14ac:dyDescent="0.25">
      <c r="F1" s="196" t="s">
        <v>0</v>
      </c>
      <c r="G1" s="196"/>
      <c r="H1" s="196"/>
      <c r="I1" s="196"/>
      <c r="J1" s="196"/>
      <c r="K1" s="197" t="s">
        <v>1</v>
      </c>
      <c r="L1" s="197"/>
      <c r="M1" s="197"/>
      <c r="N1" s="197"/>
      <c r="O1" s="197"/>
      <c r="P1" s="193" t="s">
        <v>2</v>
      </c>
      <c r="Q1" s="193"/>
      <c r="R1" s="193"/>
      <c r="S1" s="193"/>
      <c r="T1" s="196" t="s">
        <v>0</v>
      </c>
      <c r="U1" s="196"/>
      <c r="V1" s="196"/>
      <c r="W1" s="196"/>
      <c r="X1" s="196"/>
      <c r="Y1" s="197" t="s">
        <v>1</v>
      </c>
      <c r="Z1" s="197"/>
      <c r="AA1" s="197"/>
      <c r="AB1" s="197"/>
      <c r="AC1" s="197"/>
      <c r="AD1" s="4"/>
      <c r="AE1" s="4" t="s">
        <v>2</v>
      </c>
      <c r="AF1" s="4"/>
      <c r="AG1" s="4"/>
      <c r="AH1" s="4"/>
    </row>
    <row r="2" spans="1:62" ht="19.5" customHeight="1" x14ac:dyDescent="0.25">
      <c r="D2" s="6" t="s">
        <v>3</v>
      </c>
      <c r="E2" s="6"/>
      <c r="F2" s="7"/>
      <c r="G2" s="7"/>
      <c r="H2" s="7"/>
      <c r="I2" s="7"/>
      <c r="J2" s="7"/>
      <c r="K2" s="8"/>
      <c r="L2" s="8"/>
      <c r="M2" s="8"/>
      <c r="N2" s="8"/>
      <c r="O2" s="8"/>
      <c r="T2" s="7"/>
      <c r="U2" s="7"/>
      <c r="V2" s="7"/>
      <c r="W2" s="7"/>
      <c r="X2" s="7"/>
      <c r="Y2" s="8"/>
      <c r="Z2" s="8"/>
      <c r="AA2" s="8"/>
      <c r="AB2" s="8"/>
      <c r="AC2" s="8"/>
    </row>
    <row r="3" spans="1:62" ht="12.75" customHeight="1" x14ac:dyDescent="0.2">
      <c r="A3" s="9"/>
      <c r="K3" s="8"/>
      <c r="L3" s="8"/>
      <c r="M3" s="8"/>
      <c r="N3" s="8"/>
      <c r="O3" s="8"/>
      <c r="Y3" s="8"/>
      <c r="Z3" s="8"/>
      <c r="AA3" s="8"/>
      <c r="AB3" s="8"/>
      <c r="AC3" s="8"/>
    </row>
    <row r="4" spans="1:62" s="11" customFormat="1" ht="12.75" customHeight="1" x14ac:dyDescent="0.25">
      <c r="A4" s="11" t="s">
        <v>4</v>
      </c>
      <c r="B4" s="12" t="s">
        <v>5</v>
      </c>
      <c r="C4" s="11" t="s">
        <v>6</v>
      </c>
      <c r="F4" s="13" t="s">
        <v>7</v>
      </c>
      <c r="G4" s="13"/>
      <c r="H4" s="13"/>
      <c r="I4" s="13"/>
      <c r="J4" s="13" t="s">
        <v>7</v>
      </c>
      <c r="K4" s="14" t="s">
        <v>7</v>
      </c>
      <c r="L4" s="14"/>
      <c r="M4" s="14"/>
      <c r="N4" s="14"/>
      <c r="O4" s="14" t="s">
        <v>7</v>
      </c>
      <c r="P4" s="15" t="s">
        <v>7</v>
      </c>
      <c r="Q4" s="16"/>
      <c r="R4" s="16"/>
      <c r="S4" s="16"/>
      <c r="T4" s="13" t="s">
        <v>7</v>
      </c>
      <c r="U4" s="13"/>
      <c r="V4" s="13"/>
      <c r="W4" s="13"/>
      <c r="X4" s="13" t="s">
        <v>7</v>
      </c>
      <c r="Y4" s="14" t="s">
        <v>7</v>
      </c>
      <c r="Z4" s="14"/>
      <c r="AA4" s="14"/>
      <c r="AB4" s="14"/>
      <c r="AC4" s="14" t="s">
        <v>7</v>
      </c>
      <c r="AD4" s="15" t="s">
        <v>7</v>
      </c>
      <c r="AE4" s="16"/>
      <c r="AF4" s="16"/>
      <c r="AG4" s="16"/>
      <c r="AH4" s="15" t="s">
        <v>7</v>
      </c>
      <c r="AI4" s="16"/>
      <c r="AJ4" s="16"/>
      <c r="AK4" s="16"/>
      <c r="AL4" s="15" t="s">
        <v>7</v>
      </c>
      <c r="AM4" s="16"/>
      <c r="AN4" s="16"/>
      <c r="AO4" s="16"/>
      <c r="AP4" s="15" t="s">
        <v>7</v>
      </c>
      <c r="AQ4" s="16"/>
      <c r="AR4" s="16"/>
      <c r="AS4" s="16"/>
      <c r="AT4" s="15" t="s">
        <v>7</v>
      </c>
      <c r="AU4" s="16"/>
      <c r="AV4" s="16"/>
      <c r="AW4" s="16"/>
      <c r="AX4" s="15" t="s">
        <v>7</v>
      </c>
      <c r="AY4" s="16"/>
      <c r="AZ4" s="16"/>
      <c r="BA4" s="16"/>
      <c r="BB4" s="15" t="s">
        <v>7</v>
      </c>
      <c r="BC4" s="16"/>
      <c r="BD4" s="16"/>
      <c r="BE4" s="16"/>
      <c r="BF4" s="15" t="s">
        <v>7</v>
      </c>
      <c r="BG4" s="16"/>
      <c r="BH4" s="16"/>
      <c r="BI4" s="16"/>
      <c r="BJ4" s="15" t="s">
        <v>7</v>
      </c>
    </row>
    <row r="5" spans="1:62" s="11" customFormat="1" ht="87.75" customHeight="1" x14ac:dyDescent="0.25">
      <c r="A5" s="17" t="s">
        <v>8</v>
      </c>
      <c r="B5" s="18" t="s">
        <v>8</v>
      </c>
      <c r="C5" s="17" t="s">
        <v>9</v>
      </c>
      <c r="D5" s="17" t="s">
        <v>10</v>
      </c>
      <c r="E5" s="17"/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20" t="s">
        <v>11</v>
      </c>
      <c r="L5" s="20" t="s">
        <v>12</v>
      </c>
      <c r="M5" s="20" t="s">
        <v>13</v>
      </c>
      <c r="N5" s="20" t="s">
        <v>14</v>
      </c>
      <c r="O5" s="20" t="s">
        <v>15</v>
      </c>
      <c r="P5" s="21" t="s">
        <v>11</v>
      </c>
      <c r="Q5" s="22" t="s">
        <v>12</v>
      </c>
      <c r="R5" s="22" t="s">
        <v>13</v>
      </c>
      <c r="S5" s="22" t="s">
        <v>14</v>
      </c>
      <c r="T5" s="19" t="s">
        <v>15</v>
      </c>
      <c r="U5" s="19" t="s">
        <v>12</v>
      </c>
      <c r="V5" s="19" t="s">
        <v>13</v>
      </c>
      <c r="W5" s="19" t="s">
        <v>14</v>
      </c>
      <c r="X5" s="19" t="s">
        <v>16</v>
      </c>
      <c r="Y5" s="20" t="s">
        <v>15</v>
      </c>
      <c r="Z5" s="20" t="s">
        <v>12</v>
      </c>
      <c r="AA5" s="20" t="s">
        <v>13</v>
      </c>
      <c r="AB5" s="20" t="s">
        <v>14</v>
      </c>
      <c r="AC5" s="20" t="s">
        <v>16</v>
      </c>
      <c r="AD5" s="21" t="s">
        <v>15</v>
      </c>
      <c r="AE5" s="22" t="s">
        <v>12</v>
      </c>
      <c r="AF5" s="22" t="s">
        <v>13</v>
      </c>
      <c r="AG5" s="22" t="s">
        <v>14</v>
      </c>
      <c r="AH5" s="21" t="s">
        <v>16</v>
      </c>
      <c r="AI5" s="22" t="s">
        <v>12</v>
      </c>
      <c r="AJ5" s="22" t="s">
        <v>13</v>
      </c>
      <c r="AK5" s="22" t="s">
        <v>14</v>
      </c>
      <c r="AL5" s="21" t="s">
        <v>17</v>
      </c>
      <c r="AM5" s="22" t="s">
        <v>12</v>
      </c>
      <c r="AN5" s="22" t="s">
        <v>13</v>
      </c>
      <c r="AO5" s="22" t="s">
        <v>14</v>
      </c>
      <c r="AP5" s="21" t="s">
        <v>18</v>
      </c>
      <c r="AQ5" s="22" t="s">
        <v>12</v>
      </c>
      <c r="AR5" s="22" t="s">
        <v>13</v>
      </c>
      <c r="AS5" s="22" t="s">
        <v>14</v>
      </c>
      <c r="AT5" s="21" t="s">
        <v>19</v>
      </c>
      <c r="AU5" s="22" t="s">
        <v>12</v>
      </c>
      <c r="AV5" s="22" t="s">
        <v>13</v>
      </c>
      <c r="AW5" s="22" t="s">
        <v>14</v>
      </c>
      <c r="AX5" s="21" t="s">
        <v>20</v>
      </c>
      <c r="AY5" s="22" t="s">
        <v>12</v>
      </c>
      <c r="AZ5" s="22" t="s">
        <v>13</v>
      </c>
      <c r="BA5" s="22" t="s">
        <v>14</v>
      </c>
      <c r="BB5" s="21" t="s">
        <v>21</v>
      </c>
      <c r="BC5" s="22" t="s">
        <v>12</v>
      </c>
      <c r="BD5" s="22" t="s">
        <v>13</v>
      </c>
      <c r="BE5" s="22" t="s">
        <v>14</v>
      </c>
      <c r="BF5" s="21" t="s">
        <v>22</v>
      </c>
      <c r="BG5" s="22" t="s">
        <v>12</v>
      </c>
      <c r="BH5" s="22" t="s">
        <v>13</v>
      </c>
      <c r="BI5" s="22" t="s">
        <v>14</v>
      </c>
      <c r="BJ5" s="21" t="s">
        <v>23</v>
      </c>
    </row>
    <row r="6" spans="1:62" ht="12.75" customHeight="1" x14ac:dyDescent="0.2">
      <c r="F6" s="23"/>
      <c r="G6" s="23"/>
      <c r="H6" s="23"/>
      <c r="I6" s="23"/>
      <c r="J6" s="23"/>
      <c r="K6" s="8"/>
      <c r="L6" s="8"/>
      <c r="M6" s="8"/>
      <c r="N6" s="8"/>
      <c r="O6" s="8"/>
      <c r="P6" s="24"/>
      <c r="T6" s="23"/>
      <c r="U6" s="23"/>
      <c r="V6" s="23"/>
      <c r="W6" s="23"/>
      <c r="X6" s="23"/>
      <c r="Y6" s="8"/>
      <c r="Z6" s="8"/>
      <c r="AA6" s="8"/>
      <c r="AB6" s="8"/>
      <c r="AC6" s="8"/>
      <c r="AD6" s="24"/>
      <c r="AH6" s="24"/>
      <c r="AL6" s="24"/>
      <c r="AP6" s="24"/>
      <c r="AT6" s="24"/>
      <c r="AX6" s="24"/>
      <c r="BB6" s="24"/>
      <c r="BF6" s="24"/>
      <c r="BJ6" s="24"/>
    </row>
    <row r="7" spans="1:62" ht="12.75" customHeight="1" x14ac:dyDescent="0.25">
      <c r="F7" s="13" t="s">
        <v>24</v>
      </c>
      <c r="G7" s="13" t="s">
        <v>24</v>
      </c>
      <c r="H7" s="13" t="s">
        <v>24</v>
      </c>
      <c r="I7" s="13" t="s">
        <v>24</v>
      </c>
      <c r="J7" s="13" t="s">
        <v>24</v>
      </c>
      <c r="K7" s="14" t="s">
        <v>24</v>
      </c>
      <c r="L7" s="14" t="s">
        <v>24</v>
      </c>
      <c r="M7" s="14" t="s">
        <v>24</v>
      </c>
      <c r="N7" s="14" t="s">
        <v>24</v>
      </c>
      <c r="O7" s="14"/>
      <c r="P7" s="15" t="s">
        <v>24</v>
      </c>
      <c r="Q7" s="16" t="s">
        <v>24</v>
      </c>
      <c r="R7" s="16" t="s">
        <v>24</v>
      </c>
      <c r="S7" s="16" t="s">
        <v>24</v>
      </c>
      <c r="T7" s="13" t="s">
        <v>24</v>
      </c>
      <c r="U7" s="13" t="s">
        <v>24</v>
      </c>
      <c r="V7" s="13" t="s">
        <v>24</v>
      </c>
      <c r="W7" s="13" t="s">
        <v>24</v>
      </c>
      <c r="X7" s="13" t="s">
        <v>24</v>
      </c>
      <c r="Y7" s="14" t="s">
        <v>24</v>
      </c>
      <c r="Z7" s="14" t="s">
        <v>24</v>
      </c>
      <c r="AA7" s="14" t="s">
        <v>24</v>
      </c>
      <c r="AB7" s="14" t="s">
        <v>24</v>
      </c>
      <c r="AC7" s="14"/>
      <c r="AD7" s="15" t="s">
        <v>24</v>
      </c>
      <c r="AE7" s="16" t="s">
        <v>24</v>
      </c>
      <c r="AF7" s="16" t="s">
        <v>24</v>
      </c>
      <c r="AG7" s="16" t="s">
        <v>24</v>
      </c>
      <c r="AH7" s="15" t="s">
        <v>24</v>
      </c>
      <c r="AI7" s="16" t="s">
        <v>24</v>
      </c>
      <c r="AJ7" s="16" t="s">
        <v>24</v>
      </c>
      <c r="AK7" s="16" t="s">
        <v>24</v>
      </c>
      <c r="AL7" s="15" t="s">
        <v>24</v>
      </c>
      <c r="AM7" s="16" t="s">
        <v>24</v>
      </c>
      <c r="AN7" s="16" t="s">
        <v>24</v>
      </c>
      <c r="AO7" s="16" t="s">
        <v>24</v>
      </c>
      <c r="AP7" s="15" t="s">
        <v>24</v>
      </c>
      <c r="AQ7" s="16" t="s">
        <v>24</v>
      </c>
      <c r="AR7" s="16" t="s">
        <v>24</v>
      </c>
      <c r="AS7" s="16" t="s">
        <v>24</v>
      </c>
      <c r="AT7" s="15" t="s">
        <v>24</v>
      </c>
      <c r="AU7" s="16" t="s">
        <v>24</v>
      </c>
      <c r="AV7" s="16" t="s">
        <v>24</v>
      </c>
      <c r="AW7" s="16" t="s">
        <v>24</v>
      </c>
      <c r="AX7" s="15" t="s">
        <v>24</v>
      </c>
      <c r="AY7" s="16" t="s">
        <v>24</v>
      </c>
      <c r="AZ7" s="16" t="s">
        <v>24</v>
      </c>
      <c r="BA7" s="16" t="s">
        <v>24</v>
      </c>
      <c r="BB7" s="15" t="s">
        <v>24</v>
      </c>
      <c r="BC7" s="16" t="s">
        <v>24</v>
      </c>
      <c r="BD7" s="16" t="s">
        <v>24</v>
      </c>
      <c r="BE7" s="16" t="s">
        <v>24</v>
      </c>
      <c r="BF7" s="15" t="s">
        <v>24</v>
      </c>
      <c r="BG7" s="16" t="s">
        <v>24</v>
      </c>
      <c r="BH7" s="16" t="s">
        <v>24</v>
      </c>
      <c r="BI7" s="16" t="s">
        <v>24</v>
      </c>
      <c r="BJ7" s="15" t="s">
        <v>24</v>
      </c>
    </row>
    <row r="8" spans="1:62" ht="12.75" customHeight="1" x14ac:dyDescent="0.2">
      <c r="F8" s="23"/>
      <c r="G8" s="23"/>
      <c r="H8" s="23"/>
      <c r="I8" s="23"/>
      <c r="J8" s="23"/>
      <c r="K8" s="8"/>
      <c r="L8" s="8"/>
      <c r="M8" s="8"/>
      <c r="N8" s="8"/>
      <c r="O8" s="8"/>
      <c r="P8" s="24"/>
      <c r="T8" s="23"/>
      <c r="U8" s="23"/>
      <c r="V8" s="23"/>
      <c r="W8" s="23"/>
      <c r="X8" s="23"/>
      <c r="Y8" s="8"/>
      <c r="Z8" s="8"/>
      <c r="AA8" s="8"/>
      <c r="AB8" s="8"/>
      <c r="AC8" s="8"/>
      <c r="AD8" s="24"/>
      <c r="AH8" s="24"/>
      <c r="AL8" s="24"/>
      <c r="AP8" s="24"/>
      <c r="AT8" s="24"/>
      <c r="AX8" s="24"/>
      <c r="BB8" s="24"/>
      <c r="BF8" s="24"/>
      <c r="BJ8" s="24"/>
    </row>
    <row r="9" spans="1:62" ht="18" customHeight="1" x14ac:dyDescent="0.25">
      <c r="D9" s="25" t="s">
        <v>25</v>
      </c>
      <c r="E9" s="25"/>
      <c r="F9" s="26"/>
      <c r="G9" s="26"/>
      <c r="H9" s="26"/>
      <c r="I9" s="26"/>
      <c r="J9" s="26"/>
      <c r="K9" s="27"/>
      <c r="L9" s="27"/>
      <c r="M9" s="27"/>
      <c r="N9" s="27"/>
      <c r="O9" s="27"/>
      <c r="P9" s="28"/>
      <c r="Q9" s="29"/>
      <c r="R9" s="29"/>
      <c r="S9" s="29"/>
      <c r="T9" s="26"/>
      <c r="U9" s="26"/>
      <c r="V9" s="26"/>
      <c r="W9" s="26"/>
      <c r="X9" s="26"/>
      <c r="Y9" s="27"/>
      <c r="Z9" s="27"/>
      <c r="AA9" s="27"/>
      <c r="AB9" s="27"/>
      <c r="AC9" s="27"/>
      <c r="AD9" s="28"/>
      <c r="AE9" s="29"/>
      <c r="AF9" s="29"/>
      <c r="AG9" s="29"/>
      <c r="AH9" s="28"/>
      <c r="AI9" s="29"/>
      <c r="AJ9" s="29"/>
      <c r="AK9" s="29"/>
      <c r="AL9" s="28"/>
      <c r="AM9" s="29"/>
      <c r="AN9" s="29"/>
      <c r="AO9" s="29"/>
      <c r="AP9" s="28"/>
      <c r="AQ9" s="29"/>
      <c r="AR9" s="29"/>
      <c r="AS9" s="29"/>
      <c r="AT9" s="28"/>
      <c r="AU9" s="29"/>
      <c r="AV9" s="29"/>
      <c r="AW9" s="29"/>
      <c r="AX9" s="28"/>
      <c r="AY9" s="29"/>
      <c r="AZ9" s="29"/>
      <c r="BA9" s="29"/>
      <c r="BB9" s="28"/>
      <c r="BC9" s="29"/>
      <c r="BD9" s="29"/>
      <c r="BE9" s="29"/>
      <c r="BF9" s="28"/>
      <c r="BG9" s="29"/>
      <c r="BH9" s="29"/>
      <c r="BI9" s="29"/>
      <c r="BJ9" s="28"/>
    </row>
    <row r="10" spans="1:62" ht="12.75" customHeight="1" x14ac:dyDescent="0.25">
      <c r="D10" s="25"/>
      <c r="E10" s="25"/>
      <c r="F10" s="26"/>
      <c r="G10" s="26"/>
      <c r="H10" s="26"/>
      <c r="I10" s="26"/>
      <c r="J10" s="26"/>
      <c r="K10" s="27"/>
      <c r="L10" s="27"/>
      <c r="M10" s="27"/>
      <c r="N10" s="27"/>
      <c r="O10" s="27"/>
      <c r="P10" s="28"/>
      <c r="Q10" s="29"/>
      <c r="R10" s="29"/>
      <c r="S10" s="29"/>
      <c r="T10" s="26"/>
      <c r="U10" s="26"/>
      <c r="V10" s="26"/>
      <c r="W10" s="26"/>
      <c r="X10" s="26"/>
      <c r="Y10" s="27"/>
      <c r="Z10" s="27"/>
      <c r="AA10" s="27"/>
      <c r="AB10" s="27"/>
      <c r="AC10" s="27"/>
      <c r="AD10" s="28"/>
      <c r="AE10" s="29"/>
      <c r="AF10" s="29"/>
      <c r="AG10" s="29"/>
      <c r="AH10" s="28"/>
      <c r="AI10" s="29"/>
      <c r="AJ10" s="29"/>
      <c r="AK10" s="29"/>
      <c r="AL10" s="28"/>
      <c r="AM10" s="29"/>
      <c r="AN10" s="29"/>
      <c r="AO10" s="29"/>
      <c r="AP10" s="28"/>
      <c r="AQ10" s="29"/>
      <c r="AR10" s="29"/>
      <c r="AS10" s="29"/>
      <c r="AT10" s="28"/>
      <c r="AU10" s="29"/>
      <c r="AV10" s="29"/>
      <c r="AW10" s="29"/>
      <c r="AX10" s="28"/>
      <c r="AY10" s="29"/>
      <c r="AZ10" s="29"/>
      <c r="BA10" s="29"/>
      <c r="BB10" s="28"/>
      <c r="BC10" s="29"/>
      <c r="BD10" s="29"/>
      <c r="BE10" s="29"/>
      <c r="BF10" s="28"/>
      <c r="BG10" s="29"/>
      <c r="BH10" s="29"/>
      <c r="BI10" s="29"/>
      <c r="BJ10" s="28"/>
    </row>
    <row r="11" spans="1:62" s="32" customFormat="1" ht="12.75" customHeight="1" x14ac:dyDescent="0.2">
      <c r="A11" s="30">
        <v>900030</v>
      </c>
      <c r="B11" s="31">
        <v>47900</v>
      </c>
      <c r="C11" s="30" t="s">
        <v>26</v>
      </c>
      <c r="D11" s="32" t="s">
        <v>27</v>
      </c>
      <c r="F11" s="33">
        <v>9492.8430000000008</v>
      </c>
      <c r="G11" s="34">
        <v>204.114</v>
      </c>
      <c r="H11" s="34"/>
      <c r="I11" s="34"/>
      <c r="J11" s="33">
        <f>SUM(F11:I11)</f>
        <v>9696.9570000000003</v>
      </c>
      <c r="K11" s="35">
        <v>9492.8430000000008</v>
      </c>
      <c r="L11" s="36">
        <f>208.5-4.4</f>
        <v>204.1</v>
      </c>
      <c r="M11" s="36"/>
      <c r="N11" s="36"/>
      <c r="O11" s="36">
        <f>SUM(K11:N11)</f>
        <v>9696.9430000000011</v>
      </c>
      <c r="P11" s="37">
        <v>9492.8430000000008</v>
      </c>
      <c r="Q11" s="38">
        <f>208.5-4.4</f>
        <v>204.1</v>
      </c>
      <c r="R11" s="38"/>
      <c r="S11" s="38"/>
      <c r="T11" s="33">
        <v>9696.9570000000003</v>
      </c>
      <c r="U11" s="34">
        <v>0</v>
      </c>
      <c r="V11" s="34"/>
      <c r="W11" s="34"/>
      <c r="X11" s="33">
        <f>SUM(T11:W11)</f>
        <v>9696.9570000000003</v>
      </c>
      <c r="Y11" s="35">
        <v>9696.9570000000003</v>
      </c>
      <c r="Z11" s="36">
        <v>0</v>
      </c>
      <c r="AA11" s="36"/>
      <c r="AB11" s="36"/>
      <c r="AC11" s="36">
        <f>SUM(Y11:AB11)</f>
        <v>9696.9570000000003</v>
      </c>
      <c r="AD11" s="37">
        <f>J11</f>
        <v>9696.9570000000003</v>
      </c>
      <c r="AE11" s="38">
        <f>U11</f>
        <v>0</v>
      </c>
      <c r="AF11" s="38">
        <f>V11</f>
        <v>0</v>
      </c>
      <c r="AG11" s="38">
        <f>W11</f>
        <v>0</v>
      </c>
      <c r="AH11" s="28">
        <f>SUM(AD11:AG11)</f>
        <v>9696.9570000000003</v>
      </c>
      <c r="AI11" s="39"/>
      <c r="AJ11" s="39"/>
      <c r="AK11" s="39"/>
      <c r="AL11" s="28">
        <f>SUM(AH11:AK11)</f>
        <v>9696.9570000000003</v>
      </c>
      <c r="AM11" s="39"/>
      <c r="AN11" s="39">
        <f>-1180.751+540+565.308+75.4+0.043</f>
        <v>2.2051804826617172E-14</v>
      </c>
      <c r="AO11" s="39"/>
      <c r="AP11" s="28">
        <f>SUM(AL11:AO11)</f>
        <v>9696.9570000000003</v>
      </c>
      <c r="AQ11" s="39"/>
      <c r="AR11" s="39">
        <f>-988.534+500+22.203-200-0.001+2.3</f>
        <v>-664.03200000000004</v>
      </c>
      <c r="AS11" s="39"/>
      <c r="AT11" s="28">
        <f>SUM(AP11:AS11)</f>
        <v>9032.9250000000011</v>
      </c>
      <c r="AU11" s="39"/>
      <c r="AV11" s="39">
        <f>-793.035+87.873+75-290.055+500+22.203-150+0.001+2.3</f>
        <v>-545.71299999999997</v>
      </c>
      <c r="AW11" s="39">
        <f>-565.2+128.5-67.931+128.557-275.946-1+90.559</f>
        <v>-562.46100000000013</v>
      </c>
      <c r="AX11" s="28">
        <f>SUM(AT11:AW11)</f>
        <v>7924.7510000000011</v>
      </c>
      <c r="AY11" s="39"/>
      <c r="AZ11" s="39">
        <f>-370.63+87.873+75-685.001+500+22.203+0.048+2.3</f>
        <v>-368.20700000000005</v>
      </c>
      <c r="BA11" s="39"/>
      <c r="BB11" s="28">
        <f>SUM(AX11:BA11)</f>
        <v>7556.5440000000008</v>
      </c>
      <c r="BC11" s="39"/>
      <c r="BD11" s="5"/>
      <c r="BE11" s="39"/>
      <c r="BF11" s="28">
        <f>SUM(BB11:BE11)</f>
        <v>7556.5440000000008</v>
      </c>
      <c r="BG11" s="39"/>
      <c r="BH11" s="5"/>
      <c r="BI11" s="39"/>
      <c r="BJ11" s="28">
        <f>SUM(BF11:BI11)</f>
        <v>7556.5440000000008</v>
      </c>
    </row>
    <row r="12" spans="1:62" ht="24" hidden="1" customHeight="1" x14ac:dyDescent="0.2">
      <c r="F12" s="26"/>
      <c r="G12" s="40"/>
      <c r="H12" s="40"/>
      <c r="I12" s="40"/>
      <c r="J12" s="26"/>
      <c r="K12" s="27"/>
      <c r="L12" s="41"/>
      <c r="M12" s="41"/>
      <c r="N12" s="41"/>
      <c r="O12" s="41"/>
      <c r="P12" s="28"/>
      <c r="Q12" s="39"/>
      <c r="R12" s="39"/>
      <c r="S12" s="39"/>
      <c r="T12" s="26"/>
      <c r="U12" s="40"/>
      <c r="V12" s="40"/>
      <c r="W12" s="40"/>
      <c r="X12" s="26"/>
      <c r="Y12" s="27"/>
      <c r="Z12" s="41"/>
      <c r="AA12" s="41"/>
      <c r="AB12" s="41"/>
      <c r="AC12" s="41"/>
      <c r="AD12" s="28"/>
      <c r="AE12" s="39"/>
      <c r="AF12" s="39"/>
      <c r="AG12" s="39"/>
      <c r="AH12" s="28"/>
      <c r="AI12" s="39"/>
      <c r="AJ12" s="39"/>
      <c r="AK12" s="39"/>
      <c r="AL12" s="28"/>
      <c r="AM12" s="39"/>
      <c r="AN12" s="39"/>
      <c r="AO12" s="39"/>
      <c r="AP12" s="28"/>
      <c r="AQ12" s="39"/>
      <c r="AR12" s="39"/>
      <c r="AS12" s="39"/>
      <c r="AT12" s="28"/>
      <c r="AU12" s="39"/>
      <c r="AV12" s="39"/>
      <c r="AW12" s="39"/>
      <c r="AX12" s="28"/>
      <c r="AY12" s="39"/>
      <c r="AZ12" s="39"/>
      <c r="BA12" s="39"/>
      <c r="BB12" s="28"/>
      <c r="BC12" s="39"/>
      <c r="BD12" s="39"/>
      <c r="BE12" s="39"/>
      <c r="BF12" s="28"/>
      <c r="BG12" s="39"/>
      <c r="BH12" s="39"/>
      <c r="BI12" s="39"/>
      <c r="BJ12" s="28"/>
    </row>
    <row r="13" spans="1:62" ht="12.75" hidden="1" customHeight="1" x14ac:dyDescent="0.2">
      <c r="D13" s="3" t="s">
        <v>28</v>
      </c>
      <c r="F13" s="26"/>
      <c r="G13" s="40"/>
      <c r="H13" s="40"/>
      <c r="I13" s="40"/>
      <c r="J13" s="26">
        <f>SUM(F13:I13)</f>
        <v>0</v>
      </c>
      <c r="K13" s="27"/>
      <c r="L13" s="41"/>
      <c r="M13" s="41"/>
      <c r="N13" s="41"/>
      <c r="O13" s="41">
        <f>SUM(K13:N13)</f>
        <v>0</v>
      </c>
      <c r="P13" s="28"/>
      <c r="R13" s="39"/>
      <c r="S13" s="39"/>
      <c r="T13" s="26"/>
      <c r="U13" s="40"/>
      <c r="V13" s="40"/>
      <c r="W13" s="40"/>
      <c r="X13" s="26">
        <f>SUM(T13:W13)</f>
        <v>0</v>
      </c>
      <c r="Y13" s="27"/>
      <c r="Z13" s="41"/>
      <c r="AA13" s="41"/>
      <c r="AB13" s="41"/>
      <c r="AC13" s="41">
        <f>SUM(Y13:AB13)</f>
        <v>0</v>
      </c>
      <c r="AD13" s="28">
        <f>SUM(P13:S13)</f>
        <v>0</v>
      </c>
      <c r="AE13" s="39"/>
      <c r="AF13" s="39"/>
      <c r="AG13" s="39"/>
      <c r="AH13" s="28">
        <f>SUM(AD13:AG13)</f>
        <v>0</v>
      </c>
      <c r="AI13" s="39"/>
      <c r="AJ13" s="39"/>
      <c r="AK13" s="39"/>
      <c r="AL13" s="28">
        <f>SUM(AH13:AK13)</f>
        <v>0</v>
      </c>
      <c r="AM13" s="39"/>
      <c r="AN13" s="39"/>
      <c r="AO13" s="39"/>
      <c r="AP13" s="28">
        <f>SUM(AL13:AO13)</f>
        <v>0</v>
      </c>
      <c r="AQ13" s="39"/>
      <c r="AR13" s="39"/>
      <c r="AS13" s="39"/>
      <c r="AT13" s="28">
        <f>SUM(AP13:AS13)</f>
        <v>0</v>
      </c>
      <c r="AU13" s="39"/>
      <c r="AV13" s="39"/>
      <c r="AW13" s="39"/>
      <c r="AX13" s="28">
        <f>SUM(AT13:AW13)</f>
        <v>0</v>
      </c>
      <c r="AY13" s="39"/>
      <c r="AZ13" s="39"/>
      <c r="BA13" s="39"/>
      <c r="BB13" s="28">
        <f>SUM(AX13:BA13)</f>
        <v>0</v>
      </c>
      <c r="BC13" s="39"/>
      <c r="BD13" s="39"/>
      <c r="BE13" s="39"/>
      <c r="BF13" s="28">
        <f>SUM(BB13:BE13)</f>
        <v>0</v>
      </c>
      <c r="BG13" s="39"/>
      <c r="BH13" s="39"/>
      <c r="BI13" s="39"/>
      <c r="BJ13" s="28">
        <f>SUM(BF13:BI13)</f>
        <v>0</v>
      </c>
    </row>
    <row r="14" spans="1:62" ht="12.75" customHeight="1" thickBot="1" x14ac:dyDescent="0.25">
      <c r="F14" s="26"/>
      <c r="G14" s="40"/>
      <c r="H14" s="40"/>
      <c r="I14" s="26"/>
      <c r="J14" s="26"/>
      <c r="K14" s="27"/>
      <c r="L14" s="27"/>
      <c r="M14" s="27"/>
      <c r="N14" s="27"/>
      <c r="O14" s="27"/>
      <c r="P14" s="28"/>
      <c r="Q14" s="29"/>
      <c r="R14" s="29"/>
      <c r="S14" s="29"/>
      <c r="T14" s="26"/>
      <c r="U14" s="40"/>
      <c r="V14" s="40"/>
      <c r="W14" s="26"/>
      <c r="X14" s="26"/>
      <c r="Y14" s="27"/>
      <c r="Z14" s="27"/>
      <c r="AA14" s="27"/>
      <c r="AB14" s="27"/>
      <c r="AC14" s="27"/>
      <c r="AD14" s="28"/>
      <c r="AE14" s="29"/>
      <c r="AF14" s="29"/>
      <c r="AG14" s="29"/>
      <c r="AH14" s="28"/>
      <c r="AI14" s="29"/>
      <c r="AJ14" s="29"/>
      <c r="AK14" s="29"/>
      <c r="AL14" s="28"/>
      <c r="AM14" s="29"/>
      <c r="AN14" s="29"/>
      <c r="AO14" s="29"/>
      <c r="AP14" s="28"/>
      <c r="AQ14" s="29"/>
      <c r="AR14" s="29"/>
      <c r="AS14" s="29"/>
      <c r="AT14" s="28"/>
      <c r="AU14" s="29"/>
      <c r="AV14" s="29"/>
      <c r="AW14" s="29"/>
      <c r="AX14" s="28"/>
      <c r="AY14" s="29"/>
      <c r="AZ14" s="29"/>
      <c r="BA14" s="29"/>
      <c r="BB14" s="28"/>
      <c r="BC14" s="29"/>
      <c r="BD14" s="29"/>
      <c r="BE14" s="29"/>
      <c r="BF14" s="28"/>
      <c r="BG14" s="29"/>
      <c r="BH14" s="29"/>
      <c r="BI14" s="29"/>
      <c r="BJ14" s="28"/>
    </row>
    <row r="15" spans="1:62" ht="18" customHeight="1" thickBot="1" x14ac:dyDescent="0.3">
      <c r="D15" s="11" t="s">
        <v>29</v>
      </c>
      <c r="E15" s="11"/>
      <c r="F15" s="42">
        <f t="shared" ref="F15:BJ15" si="0">SUM(F11:F14)</f>
        <v>9492.8430000000008</v>
      </c>
      <c r="G15" s="42">
        <f t="shared" si="0"/>
        <v>204.114</v>
      </c>
      <c r="H15" s="42">
        <f t="shared" si="0"/>
        <v>0</v>
      </c>
      <c r="I15" s="42">
        <f t="shared" si="0"/>
        <v>0</v>
      </c>
      <c r="J15" s="42">
        <f t="shared" si="0"/>
        <v>9696.9570000000003</v>
      </c>
      <c r="K15" s="43">
        <f t="shared" si="0"/>
        <v>9492.8430000000008</v>
      </c>
      <c r="L15" s="43">
        <f t="shared" si="0"/>
        <v>204.1</v>
      </c>
      <c r="M15" s="43">
        <f t="shared" si="0"/>
        <v>0</v>
      </c>
      <c r="N15" s="43">
        <f t="shared" si="0"/>
        <v>0</v>
      </c>
      <c r="O15" s="43">
        <f t="shared" si="0"/>
        <v>9696.9430000000011</v>
      </c>
      <c r="P15" s="44">
        <f t="shared" si="0"/>
        <v>9492.8430000000008</v>
      </c>
      <c r="Q15" s="45">
        <f t="shared" si="0"/>
        <v>204.1</v>
      </c>
      <c r="R15" s="45">
        <f t="shared" si="0"/>
        <v>0</v>
      </c>
      <c r="S15" s="45">
        <f t="shared" si="0"/>
        <v>0</v>
      </c>
      <c r="T15" s="42">
        <f t="shared" si="0"/>
        <v>9696.9570000000003</v>
      </c>
      <c r="U15" s="42">
        <f t="shared" si="0"/>
        <v>0</v>
      </c>
      <c r="V15" s="42">
        <f t="shared" si="0"/>
        <v>0</v>
      </c>
      <c r="W15" s="42">
        <f t="shared" si="0"/>
        <v>0</v>
      </c>
      <c r="X15" s="42">
        <f t="shared" si="0"/>
        <v>9696.9570000000003</v>
      </c>
      <c r="Y15" s="43">
        <f t="shared" si="0"/>
        <v>9696.9570000000003</v>
      </c>
      <c r="Z15" s="43">
        <f t="shared" si="0"/>
        <v>0</v>
      </c>
      <c r="AA15" s="43">
        <f t="shared" si="0"/>
        <v>0</v>
      </c>
      <c r="AB15" s="43">
        <f t="shared" si="0"/>
        <v>0</v>
      </c>
      <c r="AC15" s="43">
        <f t="shared" si="0"/>
        <v>9696.9570000000003</v>
      </c>
      <c r="AD15" s="44">
        <f t="shared" si="0"/>
        <v>9696.9570000000003</v>
      </c>
      <c r="AE15" s="45">
        <f t="shared" si="0"/>
        <v>0</v>
      </c>
      <c r="AF15" s="45">
        <f t="shared" si="0"/>
        <v>0</v>
      </c>
      <c r="AG15" s="45">
        <f t="shared" si="0"/>
        <v>0</v>
      </c>
      <c r="AH15" s="44">
        <f t="shared" si="0"/>
        <v>9696.9570000000003</v>
      </c>
      <c r="AI15" s="45">
        <f t="shared" si="0"/>
        <v>0</v>
      </c>
      <c r="AJ15" s="45">
        <f t="shared" si="0"/>
        <v>0</v>
      </c>
      <c r="AK15" s="45">
        <f t="shared" si="0"/>
        <v>0</v>
      </c>
      <c r="AL15" s="44">
        <f t="shared" si="0"/>
        <v>9696.9570000000003</v>
      </c>
      <c r="AM15" s="45">
        <f t="shared" si="0"/>
        <v>0</v>
      </c>
      <c r="AN15" s="45">
        <f t="shared" si="0"/>
        <v>2.2051804826617172E-14</v>
      </c>
      <c r="AO15" s="45">
        <f t="shared" si="0"/>
        <v>0</v>
      </c>
      <c r="AP15" s="44">
        <f t="shared" si="0"/>
        <v>9696.9570000000003</v>
      </c>
      <c r="AQ15" s="45">
        <f t="shared" si="0"/>
        <v>0</v>
      </c>
      <c r="AR15" s="45">
        <f t="shared" si="0"/>
        <v>-664.03200000000004</v>
      </c>
      <c r="AS15" s="45">
        <f t="shared" si="0"/>
        <v>0</v>
      </c>
      <c r="AT15" s="44">
        <f t="shared" si="0"/>
        <v>9032.9250000000011</v>
      </c>
      <c r="AU15" s="45">
        <f t="shared" si="0"/>
        <v>0</v>
      </c>
      <c r="AV15" s="45">
        <f t="shared" si="0"/>
        <v>-545.71299999999997</v>
      </c>
      <c r="AW15" s="45">
        <f t="shared" si="0"/>
        <v>-562.46100000000013</v>
      </c>
      <c r="AX15" s="44">
        <f t="shared" si="0"/>
        <v>7924.7510000000011</v>
      </c>
      <c r="AY15" s="45">
        <f t="shared" si="0"/>
        <v>0</v>
      </c>
      <c r="AZ15" s="45">
        <f t="shared" si="0"/>
        <v>-368.20700000000005</v>
      </c>
      <c r="BA15" s="45">
        <f t="shared" si="0"/>
        <v>0</v>
      </c>
      <c r="BB15" s="44">
        <f t="shared" si="0"/>
        <v>7556.5440000000008</v>
      </c>
      <c r="BC15" s="45">
        <f t="shared" si="0"/>
        <v>0</v>
      </c>
      <c r="BD15" s="45">
        <f t="shared" si="0"/>
        <v>0</v>
      </c>
      <c r="BE15" s="45">
        <f t="shared" si="0"/>
        <v>0</v>
      </c>
      <c r="BF15" s="44">
        <f t="shared" si="0"/>
        <v>7556.5440000000008</v>
      </c>
      <c r="BG15" s="45">
        <f t="shared" si="0"/>
        <v>0</v>
      </c>
      <c r="BH15" s="45">
        <f t="shared" si="0"/>
        <v>0</v>
      </c>
      <c r="BI15" s="45">
        <f t="shared" si="0"/>
        <v>0</v>
      </c>
      <c r="BJ15" s="44">
        <f t="shared" si="0"/>
        <v>7556.5440000000008</v>
      </c>
    </row>
    <row r="16" spans="1:62" ht="12.75" customHeight="1" thickTop="1" x14ac:dyDescent="0.2">
      <c r="F16" s="26"/>
      <c r="G16" s="26"/>
      <c r="H16" s="26"/>
      <c r="I16" s="26"/>
      <c r="J16" s="26"/>
      <c r="K16" s="27"/>
      <c r="L16" s="27"/>
      <c r="M16" s="27"/>
      <c r="N16" s="27"/>
      <c r="O16" s="27"/>
      <c r="P16" s="28"/>
      <c r="Q16" s="29"/>
      <c r="R16" s="29"/>
      <c r="S16" s="29"/>
      <c r="T16" s="26"/>
      <c r="U16" s="26"/>
      <c r="V16" s="26"/>
      <c r="W16" s="26"/>
      <c r="X16" s="26"/>
      <c r="Y16" s="27"/>
      <c r="Z16" s="27"/>
      <c r="AA16" s="27"/>
      <c r="AB16" s="27"/>
      <c r="AC16" s="27"/>
      <c r="AD16" s="28"/>
      <c r="AE16" s="29"/>
      <c r="AF16" s="29"/>
      <c r="AG16" s="29"/>
      <c r="AH16" s="28"/>
      <c r="AI16" s="29"/>
      <c r="AJ16" s="29"/>
      <c r="AK16" s="29"/>
      <c r="AL16" s="28"/>
      <c r="AM16" s="29"/>
      <c r="AN16" s="29"/>
      <c r="AO16" s="29"/>
      <c r="AP16" s="28"/>
      <c r="AQ16" s="29"/>
      <c r="AR16" s="29"/>
      <c r="AS16" s="29"/>
      <c r="AT16" s="28"/>
      <c r="AU16" s="29"/>
      <c r="AV16" s="29"/>
      <c r="AW16" s="29"/>
      <c r="AX16" s="28"/>
      <c r="AY16" s="29"/>
      <c r="AZ16" s="29"/>
      <c r="BA16" s="29"/>
      <c r="BB16" s="28"/>
      <c r="BC16" s="29"/>
      <c r="BD16" s="29"/>
      <c r="BE16" s="29"/>
      <c r="BF16" s="28"/>
      <c r="BG16" s="29"/>
      <c r="BH16" s="29"/>
      <c r="BI16" s="29"/>
      <c r="BJ16" s="28"/>
    </row>
    <row r="17" spans="1:62" ht="18" customHeight="1" x14ac:dyDescent="0.25">
      <c r="D17" s="46" t="s">
        <v>30</v>
      </c>
      <c r="E17" s="46"/>
      <c r="F17" s="26"/>
      <c r="G17" s="26"/>
      <c r="H17" s="26"/>
      <c r="I17" s="26"/>
      <c r="J17" s="26"/>
      <c r="K17" s="27"/>
      <c r="L17" s="27"/>
      <c r="M17" s="27"/>
      <c r="N17" s="27"/>
      <c r="O17" s="27"/>
      <c r="P17" s="28"/>
      <c r="Q17" s="29"/>
      <c r="R17" s="29"/>
      <c r="S17" s="29"/>
      <c r="T17" s="26"/>
      <c r="U17" s="26"/>
      <c r="V17" s="26"/>
      <c r="W17" s="26"/>
      <c r="X17" s="26"/>
      <c r="Y17" s="27"/>
      <c r="Z17" s="27"/>
      <c r="AA17" s="27"/>
      <c r="AB17" s="27"/>
      <c r="AC17" s="27"/>
      <c r="AD17" s="28"/>
      <c r="AE17" s="29"/>
      <c r="AF17" s="29"/>
      <c r="AG17" s="29"/>
      <c r="AH17" s="28"/>
      <c r="AI17" s="29"/>
      <c r="AJ17" s="29"/>
      <c r="AK17" s="29"/>
      <c r="AL17" s="28"/>
      <c r="AM17" s="29"/>
      <c r="AN17" s="29"/>
      <c r="AO17" s="29"/>
      <c r="AP17" s="28"/>
      <c r="AQ17" s="29"/>
      <c r="AR17" s="29"/>
      <c r="AS17" s="29"/>
      <c r="AT17" s="28"/>
      <c r="AU17" s="29"/>
      <c r="AV17" s="29"/>
      <c r="AW17" s="29"/>
      <c r="AX17" s="28"/>
      <c r="AY17" s="29"/>
      <c r="AZ17" s="29"/>
      <c r="BA17" s="29"/>
      <c r="BB17" s="28"/>
      <c r="BC17" s="29"/>
      <c r="BD17" s="29"/>
      <c r="BE17" s="29"/>
      <c r="BF17" s="28"/>
      <c r="BG17" s="29"/>
      <c r="BH17" s="29"/>
      <c r="BI17" s="29"/>
      <c r="BJ17" s="28"/>
    </row>
    <row r="18" spans="1:62" ht="12.75" customHeight="1" x14ac:dyDescent="0.25">
      <c r="D18" s="46"/>
      <c r="E18" s="46"/>
      <c r="F18" s="26"/>
      <c r="G18" s="26"/>
      <c r="H18" s="26"/>
      <c r="I18" s="26"/>
      <c r="J18" s="26"/>
      <c r="K18" s="27"/>
      <c r="L18" s="27"/>
      <c r="M18" s="27"/>
      <c r="N18" s="27"/>
      <c r="O18" s="27"/>
      <c r="P18" s="28"/>
      <c r="Q18" s="29"/>
      <c r="R18" s="29"/>
      <c r="S18" s="29"/>
      <c r="T18" s="26"/>
      <c r="U18" s="26"/>
      <c r="V18" s="26"/>
      <c r="W18" s="26"/>
      <c r="X18" s="26"/>
      <c r="Y18" s="27"/>
      <c r="Z18" s="27"/>
      <c r="AA18" s="27"/>
      <c r="AB18" s="27"/>
      <c r="AC18" s="27"/>
      <c r="AD18" s="28"/>
      <c r="AE18" s="29"/>
      <c r="AF18" s="29"/>
      <c r="AG18" s="29"/>
      <c r="AH18" s="28"/>
      <c r="AI18" s="29"/>
      <c r="AJ18" s="29"/>
      <c r="AK18" s="29"/>
      <c r="AL18" s="28"/>
      <c r="AM18" s="29"/>
      <c r="AN18" s="29"/>
      <c r="AO18" s="29"/>
      <c r="AP18" s="28"/>
      <c r="AQ18" s="29"/>
      <c r="AR18" s="29"/>
      <c r="AS18" s="29"/>
      <c r="AT18" s="28"/>
      <c r="AU18" s="29"/>
      <c r="AV18" s="29"/>
      <c r="AW18" s="29"/>
      <c r="AX18" s="28"/>
      <c r="AY18" s="29"/>
      <c r="AZ18" s="29"/>
      <c r="BA18" s="29"/>
      <c r="BB18" s="28"/>
      <c r="BC18" s="29"/>
      <c r="BD18" s="29"/>
      <c r="BE18" s="29"/>
      <c r="BF18" s="28"/>
      <c r="BG18" s="29"/>
      <c r="BH18" s="29"/>
      <c r="BI18" s="29"/>
      <c r="BJ18" s="28"/>
    </row>
    <row r="19" spans="1:62" ht="12.75" customHeight="1" x14ac:dyDescent="0.25">
      <c r="A19" s="1">
        <v>900031</v>
      </c>
      <c r="B19" s="2">
        <v>47400</v>
      </c>
      <c r="C19" s="1" t="s">
        <v>31</v>
      </c>
      <c r="D19" s="3" t="s">
        <v>32</v>
      </c>
      <c r="F19" s="26">
        <v>1219.2439999999999</v>
      </c>
      <c r="G19" s="47">
        <f>14.4031+12.27+6.23924</f>
        <v>32.91234</v>
      </c>
      <c r="H19" s="47">
        <f>-14.403-12.27-6.239</f>
        <v>-32.911999999999999</v>
      </c>
      <c r="I19" s="47"/>
      <c r="J19" s="26">
        <f>SUM(F19:I19)</f>
        <v>1219.24434</v>
      </c>
      <c r="K19" s="27">
        <v>1219.2439999999999</v>
      </c>
      <c r="L19" s="41">
        <v>200</v>
      </c>
      <c r="M19" s="41"/>
      <c r="N19" s="41"/>
      <c r="O19" s="41">
        <f>SUM(K19:N19)</f>
        <v>1419.2439999999999</v>
      </c>
      <c r="P19" s="28">
        <v>1219.2439999999999</v>
      </c>
      <c r="Q19" s="39">
        <v>200</v>
      </c>
      <c r="R19" s="39"/>
      <c r="S19" s="39"/>
      <c r="T19" s="26">
        <v>1219.24434</v>
      </c>
      <c r="U19" s="47">
        <v>0</v>
      </c>
      <c r="V19" s="47">
        <f>-640.268-59.938</f>
        <v>-700.20600000000002</v>
      </c>
      <c r="W19" s="47"/>
      <c r="X19" s="26">
        <f>SUM(T19:W19)</f>
        <v>519.03833999999995</v>
      </c>
      <c r="Y19" s="27">
        <v>1219.24434</v>
      </c>
      <c r="Z19" s="41">
        <v>0</v>
      </c>
      <c r="AA19" s="41"/>
      <c r="AB19" s="41"/>
      <c r="AC19" s="41">
        <f>SUM(Y19:AB19)</f>
        <v>1219.24434</v>
      </c>
      <c r="AD19" s="28">
        <f>J19</f>
        <v>1219.24434</v>
      </c>
      <c r="AE19" s="39">
        <f>U19</f>
        <v>0</v>
      </c>
      <c r="AF19" s="39">
        <f>V19</f>
        <v>-700.20600000000002</v>
      </c>
      <c r="AG19" s="39">
        <f>W19</f>
        <v>0</v>
      </c>
      <c r="AH19" s="28">
        <f>SUM(AD19:AG19)</f>
        <v>519.03833999999995</v>
      </c>
      <c r="AI19" s="39">
        <f>9-9</f>
        <v>0</v>
      </c>
      <c r="AJ19" s="39"/>
      <c r="AK19" s="39"/>
      <c r="AL19" s="28">
        <f>SUM(AH19:AK19)</f>
        <v>519.03833999999995</v>
      </c>
      <c r="AM19" s="39">
        <f>200-200</f>
        <v>0</v>
      </c>
      <c r="AN19" s="39"/>
      <c r="AO19" s="39"/>
      <c r="AP19" s="28">
        <f>SUM(AL19:AO19)</f>
        <v>519.03833999999995</v>
      </c>
      <c r="AQ19" s="39">
        <f>200-200</f>
        <v>0</v>
      </c>
      <c r="AR19" s="39"/>
      <c r="AS19" s="39"/>
      <c r="AT19" s="28">
        <f>SUM(AP19:AS19)</f>
        <v>519.03833999999995</v>
      </c>
      <c r="AU19" s="39">
        <f>200-200</f>
        <v>0</v>
      </c>
      <c r="AV19" s="39"/>
      <c r="AW19" s="39"/>
      <c r="AX19" s="28">
        <f>SUM(AT19:AW19)</f>
        <v>519.03833999999995</v>
      </c>
      <c r="AY19" s="39">
        <f>200-200</f>
        <v>0</v>
      </c>
      <c r="AZ19" s="39"/>
      <c r="BA19" s="39"/>
      <c r="BB19" s="28">
        <f>SUM(AX19:BA19)</f>
        <v>519.03833999999995</v>
      </c>
      <c r="BC19" s="39">
        <f>200-200</f>
        <v>0</v>
      </c>
      <c r="BD19" s="39"/>
      <c r="BE19" s="39"/>
      <c r="BF19" s="28">
        <f>SUM(BB19:BE19)</f>
        <v>519.03833999999995</v>
      </c>
      <c r="BG19" s="39">
        <f>200-200</f>
        <v>0</v>
      </c>
      <c r="BH19" s="39"/>
      <c r="BI19" s="39"/>
      <c r="BJ19" s="28">
        <f>SUM(BF19:BI19)</f>
        <v>519.03833999999995</v>
      </c>
    </row>
    <row r="20" spans="1:62" ht="12.75" customHeight="1" thickBot="1" x14ac:dyDescent="0.3">
      <c r="D20" s="46"/>
      <c r="E20" s="46"/>
      <c r="F20" s="26"/>
      <c r="G20" s="26"/>
      <c r="H20" s="26"/>
      <c r="I20" s="26"/>
      <c r="J20" s="26"/>
      <c r="K20" s="27"/>
      <c r="L20" s="27"/>
      <c r="M20" s="27"/>
      <c r="N20" s="27"/>
      <c r="O20" s="27"/>
      <c r="P20" s="28"/>
      <c r="Q20" s="29"/>
      <c r="R20" s="29"/>
      <c r="S20" s="29"/>
      <c r="T20" s="26"/>
      <c r="U20" s="26"/>
      <c r="V20" s="26"/>
      <c r="W20" s="26"/>
      <c r="X20" s="26"/>
      <c r="Y20" s="27"/>
      <c r="Z20" s="27"/>
      <c r="AA20" s="27"/>
      <c r="AB20" s="27"/>
      <c r="AC20" s="27"/>
      <c r="AD20" s="28"/>
      <c r="AE20" s="29"/>
      <c r="AF20" s="29"/>
      <c r="AG20" s="29"/>
      <c r="AH20" s="28"/>
      <c r="AI20" s="29"/>
      <c r="AJ20" s="29"/>
      <c r="AK20" s="29"/>
      <c r="AL20" s="28"/>
      <c r="AM20" s="29"/>
      <c r="AN20" s="29"/>
      <c r="AO20" s="29"/>
      <c r="AP20" s="28"/>
      <c r="AQ20" s="29"/>
      <c r="AR20" s="29"/>
      <c r="AS20" s="29"/>
      <c r="AT20" s="28"/>
      <c r="AU20" s="29"/>
      <c r="AV20" s="29"/>
      <c r="AW20" s="29"/>
      <c r="AX20" s="28"/>
      <c r="AY20" s="29"/>
      <c r="AZ20" s="29"/>
      <c r="BA20" s="29"/>
      <c r="BB20" s="28"/>
      <c r="BC20" s="29"/>
      <c r="BD20" s="29"/>
      <c r="BE20" s="29"/>
      <c r="BF20" s="28"/>
      <c r="BG20" s="29"/>
      <c r="BH20" s="29"/>
      <c r="BI20" s="29"/>
      <c r="BJ20" s="28"/>
    </row>
    <row r="21" spans="1:62" ht="19.5" customHeight="1" thickBot="1" x14ac:dyDescent="0.3">
      <c r="D21" s="11" t="s">
        <v>29</v>
      </c>
      <c r="E21" s="11"/>
      <c r="F21" s="42">
        <f t="shared" ref="F21:BJ21" si="1">SUM(F19:F20)</f>
        <v>1219.2439999999999</v>
      </c>
      <c r="G21" s="42">
        <f t="shared" si="1"/>
        <v>32.91234</v>
      </c>
      <c r="H21" s="42">
        <f t="shared" si="1"/>
        <v>-32.911999999999999</v>
      </c>
      <c r="I21" s="42">
        <f t="shared" si="1"/>
        <v>0</v>
      </c>
      <c r="J21" s="42">
        <f t="shared" si="1"/>
        <v>1219.24434</v>
      </c>
      <c r="K21" s="43">
        <f t="shared" si="1"/>
        <v>1219.2439999999999</v>
      </c>
      <c r="L21" s="43">
        <f t="shared" si="1"/>
        <v>200</v>
      </c>
      <c r="M21" s="43">
        <f t="shared" si="1"/>
        <v>0</v>
      </c>
      <c r="N21" s="43">
        <f t="shared" si="1"/>
        <v>0</v>
      </c>
      <c r="O21" s="43">
        <f t="shared" si="1"/>
        <v>1419.2439999999999</v>
      </c>
      <c r="P21" s="44">
        <f t="shared" si="1"/>
        <v>1219.2439999999999</v>
      </c>
      <c r="Q21" s="45">
        <f t="shared" si="1"/>
        <v>200</v>
      </c>
      <c r="R21" s="45">
        <f t="shared" si="1"/>
        <v>0</v>
      </c>
      <c r="S21" s="45">
        <f t="shared" si="1"/>
        <v>0</v>
      </c>
      <c r="T21" s="42">
        <f t="shared" si="1"/>
        <v>1219.24434</v>
      </c>
      <c r="U21" s="42">
        <f t="shared" si="1"/>
        <v>0</v>
      </c>
      <c r="V21" s="42">
        <f t="shared" si="1"/>
        <v>-700.20600000000002</v>
      </c>
      <c r="W21" s="42">
        <f t="shared" si="1"/>
        <v>0</v>
      </c>
      <c r="X21" s="42">
        <f t="shared" si="1"/>
        <v>519.03833999999995</v>
      </c>
      <c r="Y21" s="43">
        <f t="shared" si="1"/>
        <v>1219.24434</v>
      </c>
      <c r="Z21" s="43">
        <f t="shared" si="1"/>
        <v>0</v>
      </c>
      <c r="AA21" s="43">
        <f t="shared" si="1"/>
        <v>0</v>
      </c>
      <c r="AB21" s="43">
        <f t="shared" si="1"/>
        <v>0</v>
      </c>
      <c r="AC21" s="43">
        <f t="shared" si="1"/>
        <v>1219.24434</v>
      </c>
      <c r="AD21" s="44">
        <f t="shared" si="1"/>
        <v>1219.24434</v>
      </c>
      <c r="AE21" s="45">
        <f t="shared" si="1"/>
        <v>0</v>
      </c>
      <c r="AF21" s="45">
        <f t="shared" si="1"/>
        <v>-700.20600000000002</v>
      </c>
      <c r="AG21" s="45">
        <f t="shared" si="1"/>
        <v>0</v>
      </c>
      <c r="AH21" s="44">
        <f t="shared" si="1"/>
        <v>519.03833999999995</v>
      </c>
      <c r="AI21" s="45">
        <f t="shared" si="1"/>
        <v>0</v>
      </c>
      <c r="AJ21" s="45">
        <f t="shared" si="1"/>
        <v>0</v>
      </c>
      <c r="AK21" s="45">
        <f t="shared" si="1"/>
        <v>0</v>
      </c>
      <c r="AL21" s="44">
        <f t="shared" si="1"/>
        <v>519.03833999999995</v>
      </c>
      <c r="AM21" s="45">
        <f t="shared" si="1"/>
        <v>0</v>
      </c>
      <c r="AN21" s="45">
        <f t="shared" si="1"/>
        <v>0</v>
      </c>
      <c r="AO21" s="45">
        <f t="shared" si="1"/>
        <v>0</v>
      </c>
      <c r="AP21" s="44">
        <f t="shared" si="1"/>
        <v>519.03833999999995</v>
      </c>
      <c r="AQ21" s="45">
        <f t="shared" si="1"/>
        <v>0</v>
      </c>
      <c r="AR21" s="45">
        <f t="shared" si="1"/>
        <v>0</v>
      </c>
      <c r="AS21" s="45">
        <f t="shared" si="1"/>
        <v>0</v>
      </c>
      <c r="AT21" s="44">
        <f t="shared" si="1"/>
        <v>519.03833999999995</v>
      </c>
      <c r="AU21" s="45">
        <f t="shared" si="1"/>
        <v>0</v>
      </c>
      <c r="AV21" s="45">
        <f t="shared" si="1"/>
        <v>0</v>
      </c>
      <c r="AW21" s="45">
        <f t="shared" si="1"/>
        <v>0</v>
      </c>
      <c r="AX21" s="44">
        <f t="shared" si="1"/>
        <v>519.03833999999995</v>
      </c>
      <c r="AY21" s="45">
        <f t="shared" si="1"/>
        <v>0</v>
      </c>
      <c r="AZ21" s="45">
        <f t="shared" si="1"/>
        <v>0</v>
      </c>
      <c r="BA21" s="45">
        <f t="shared" si="1"/>
        <v>0</v>
      </c>
      <c r="BB21" s="44">
        <f t="shared" si="1"/>
        <v>519.03833999999995</v>
      </c>
      <c r="BC21" s="45">
        <f t="shared" si="1"/>
        <v>0</v>
      </c>
      <c r="BD21" s="45">
        <f t="shared" si="1"/>
        <v>0</v>
      </c>
      <c r="BE21" s="45">
        <f t="shared" si="1"/>
        <v>0</v>
      </c>
      <c r="BF21" s="44">
        <f t="shared" si="1"/>
        <v>519.03833999999995</v>
      </c>
      <c r="BG21" s="45">
        <f t="shared" si="1"/>
        <v>0</v>
      </c>
      <c r="BH21" s="45">
        <f t="shared" si="1"/>
        <v>0</v>
      </c>
      <c r="BI21" s="45">
        <f t="shared" si="1"/>
        <v>0</v>
      </c>
      <c r="BJ21" s="44">
        <f t="shared" si="1"/>
        <v>519.03833999999995</v>
      </c>
    </row>
    <row r="22" spans="1:62" ht="12.75" customHeight="1" thickTop="1" x14ac:dyDescent="0.25">
      <c r="D22" s="46"/>
      <c r="E22" s="46"/>
      <c r="F22" s="26"/>
      <c r="G22" s="26"/>
      <c r="H22" s="26"/>
      <c r="I22" s="26"/>
      <c r="J22" s="26"/>
      <c r="K22" s="27"/>
      <c r="L22" s="27"/>
      <c r="M22" s="27"/>
      <c r="N22" s="27"/>
      <c r="O22" s="27"/>
      <c r="P22" s="28"/>
      <c r="Q22" s="29"/>
      <c r="R22" s="29"/>
      <c r="S22" s="29"/>
      <c r="T22" s="26"/>
      <c r="U22" s="26"/>
      <c r="V22" s="26"/>
      <c r="W22" s="26"/>
      <c r="X22" s="26"/>
      <c r="Y22" s="27"/>
      <c r="Z22" s="27"/>
      <c r="AA22" s="27"/>
      <c r="AB22" s="27"/>
      <c r="AC22" s="27"/>
      <c r="AD22" s="28"/>
      <c r="AE22" s="29"/>
      <c r="AF22" s="29"/>
      <c r="AG22" s="29"/>
      <c r="AH22" s="28"/>
      <c r="AI22" s="29"/>
      <c r="AJ22" s="29"/>
      <c r="AK22" s="29"/>
      <c r="AL22" s="28"/>
      <c r="AM22" s="29"/>
      <c r="AN22" s="29"/>
      <c r="AO22" s="29"/>
      <c r="AP22" s="28"/>
      <c r="AQ22" s="29"/>
      <c r="AR22" s="29"/>
      <c r="AS22" s="29"/>
      <c r="AT22" s="28"/>
      <c r="AU22" s="29"/>
      <c r="AV22" s="29"/>
      <c r="AW22" s="29"/>
      <c r="AX22" s="28"/>
      <c r="AY22" s="29"/>
      <c r="AZ22" s="29"/>
      <c r="BA22" s="29"/>
      <c r="BB22" s="28"/>
      <c r="BC22" s="29"/>
      <c r="BD22" s="29"/>
      <c r="BE22" s="29"/>
      <c r="BF22" s="28"/>
      <c r="BG22" s="29"/>
      <c r="BH22" s="29"/>
      <c r="BI22" s="29"/>
      <c r="BJ22" s="28"/>
    </row>
    <row r="23" spans="1:62" ht="18" customHeight="1" x14ac:dyDescent="0.25">
      <c r="D23" s="25" t="s">
        <v>33</v>
      </c>
      <c r="E23" s="25"/>
      <c r="F23" s="26"/>
      <c r="G23" s="26"/>
      <c r="H23" s="26"/>
      <c r="I23" s="26"/>
      <c r="J23" s="26"/>
      <c r="K23" s="27"/>
      <c r="L23" s="27"/>
      <c r="M23" s="27"/>
      <c r="N23" s="27"/>
      <c r="O23" s="27"/>
      <c r="P23" s="28"/>
      <c r="Q23" s="29"/>
      <c r="R23" s="29"/>
      <c r="S23" s="29"/>
      <c r="T23" s="26"/>
      <c r="U23" s="26"/>
      <c r="V23" s="26"/>
      <c r="W23" s="26"/>
      <c r="X23" s="26"/>
      <c r="Y23" s="27"/>
      <c r="Z23" s="27"/>
      <c r="AA23" s="27"/>
      <c r="AB23" s="27"/>
      <c r="AC23" s="27"/>
      <c r="AD23" s="28"/>
      <c r="AE23" s="29"/>
      <c r="AF23" s="29"/>
      <c r="AG23" s="29"/>
      <c r="AH23" s="28"/>
      <c r="AI23" s="29"/>
      <c r="AJ23" s="29"/>
      <c r="AK23" s="29"/>
      <c r="AL23" s="28"/>
      <c r="AM23" s="29"/>
      <c r="AN23" s="29"/>
      <c r="AO23" s="29"/>
      <c r="AP23" s="28"/>
      <c r="AQ23" s="29"/>
      <c r="AR23" s="29"/>
      <c r="AS23" s="29"/>
      <c r="AT23" s="28"/>
      <c r="AU23" s="29"/>
      <c r="AV23" s="29"/>
      <c r="AW23" s="29"/>
      <c r="AX23" s="28"/>
      <c r="AY23" s="29"/>
      <c r="AZ23" s="29"/>
      <c r="BA23" s="29"/>
      <c r="BB23" s="28"/>
      <c r="BC23" s="29"/>
      <c r="BD23" s="29"/>
      <c r="BE23" s="29"/>
      <c r="BF23" s="28"/>
      <c r="BG23" s="29"/>
      <c r="BH23" s="29"/>
      <c r="BI23" s="29"/>
      <c r="BJ23" s="28"/>
    </row>
    <row r="24" spans="1:62" ht="12.75" customHeight="1" x14ac:dyDescent="0.2">
      <c r="F24" s="26"/>
      <c r="G24" s="26"/>
      <c r="H24" s="26"/>
      <c r="I24" s="26"/>
      <c r="J24" s="26"/>
      <c r="K24" s="27"/>
      <c r="L24" s="41"/>
      <c r="M24" s="41"/>
      <c r="N24" s="41"/>
      <c r="O24" s="41"/>
      <c r="P24" s="28"/>
      <c r="Q24" s="39"/>
      <c r="R24" s="39"/>
      <c r="S24" s="39"/>
      <c r="T24" s="26"/>
      <c r="U24" s="26"/>
      <c r="V24" s="26"/>
      <c r="W24" s="26"/>
      <c r="X24" s="26"/>
      <c r="Y24" s="27"/>
      <c r="Z24" s="41"/>
      <c r="AA24" s="41"/>
      <c r="AB24" s="41"/>
      <c r="AC24" s="41"/>
      <c r="AD24" s="28"/>
      <c r="AE24" s="39"/>
      <c r="AF24" s="39"/>
      <c r="AG24" s="39"/>
      <c r="AH24" s="28"/>
      <c r="AI24" s="39"/>
      <c r="AJ24" s="39"/>
      <c r="AK24" s="39"/>
      <c r="AL24" s="28"/>
      <c r="AM24" s="39"/>
      <c r="AN24" s="39"/>
      <c r="AO24" s="39"/>
      <c r="AP24" s="28"/>
      <c r="AQ24" s="39"/>
      <c r="AR24" s="39"/>
      <c r="AS24" s="39"/>
      <c r="AT24" s="28"/>
      <c r="AU24" s="39"/>
      <c r="AV24" s="39"/>
      <c r="AW24" s="39"/>
      <c r="AX24" s="28"/>
      <c r="AY24" s="39"/>
      <c r="AZ24" s="39"/>
      <c r="BA24" s="39"/>
      <c r="BB24" s="28"/>
      <c r="BC24" s="39"/>
      <c r="BD24" s="39"/>
      <c r="BE24" s="39"/>
      <c r="BF24" s="28"/>
      <c r="BG24" s="39"/>
      <c r="BH24" s="39"/>
      <c r="BI24" s="39"/>
      <c r="BJ24" s="28"/>
    </row>
    <row r="25" spans="1:62" ht="12.75" customHeight="1" x14ac:dyDescent="0.2">
      <c r="A25" s="48">
        <v>950050</v>
      </c>
      <c r="B25" s="2" t="s">
        <v>34</v>
      </c>
      <c r="C25" s="1" t="s">
        <v>35</v>
      </c>
      <c r="D25" s="3" t="s">
        <v>36</v>
      </c>
      <c r="F25" s="26">
        <v>31.204999999999998</v>
      </c>
      <c r="G25" s="26">
        <v>7.492</v>
      </c>
      <c r="H25" s="26">
        <v>-0.58099999999999996</v>
      </c>
      <c r="I25" s="40"/>
      <c r="J25" s="26">
        <f>SUM(F25:I25)</f>
        <v>38.115999999999993</v>
      </c>
      <c r="K25" s="27">
        <v>31.204999999999998</v>
      </c>
      <c r="L25" s="41"/>
      <c r="M25" s="41"/>
      <c r="N25" s="41"/>
      <c r="O25" s="41">
        <f>SUM(K25:N25)</f>
        <v>31.204999999999998</v>
      </c>
      <c r="P25" s="28">
        <v>31.204999999999998</v>
      </c>
      <c r="Q25" s="39"/>
      <c r="R25" s="39"/>
      <c r="S25" s="39"/>
      <c r="T25" s="26">
        <v>38.115999999999993</v>
      </c>
      <c r="U25" s="26">
        <v>17.029</v>
      </c>
      <c r="V25" s="26"/>
      <c r="W25" s="40">
        <f>-10.265-11.115</f>
        <v>-21.380000000000003</v>
      </c>
      <c r="X25" s="26">
        <f>SUM(T25:W25)</f>
        <v>33.764999999999993</v>
      </c>
      <c r="Y25" s="27">
        <v>38.115999999999993</v>
      </c>
      <c r="Z25" s="41"/>
      <c r="AA25" s="41"/>
      <c r="AB25" s="41"/>
      <c r="AC25" s="41">
        <f>SUM(Y25:AB25)</f>
        <v>38.115999999999993</v>
      </c>
      <c r="AD25" s="28">
        <f>J25</f>
        <v>38.115999999999993</v>
      </c>
      <c r="AE25" s="39">
        <f>U25</f>
        <v>17.029</v>
      </c>
      <c r="AF25" s="39">
        <f>V25</f>
        <v>0</v>
      </c>
      <c r="AG25" s="39">
        <f>W25</f>
        <v>-21.380000000000003</v>
      </c>
      <c r="AH25" s="28">
        <f>SUM(AD25:AG25)</f>
        <v>33.764999999999993</v>
      </c>
      <c r="AI25" s="39"/>
      <c r="AJ25" s="39"/>
      <c r="AK25" s="39"/>
      <c r="AL25" s="28">
        <f>SUM(AH25:AK25)</f>
        <v>33.764999999999993</v>
      </c>
      <c r="AM25" s="39"/>
      <c r="AN25" s="39"/>
      <c r="AO25" s="39"/>
      <c r="AP25" s="28">
        <f>SUM(AL25:AO25)</f>
        <v>33.764999999999993</v>
      </c>
      <c r="AQ25" s="39"/>
      <c r="AR25" s="39"/>
      <c r="AS25" s="39"/>
      <c r="AT25" s="28">
        <f>SUM(AP25:AS25)</f>
        <v>33.764999999999993</v>
      </c>
      <c r="AU25" s="39"/>
      <c r="AV25" s="39"/>
      <c r="AW25" s="39"/>
      <c r="AX25" s="28">
        <f>SUM(AT25:AW25)</f>
        <v>33.764999999999993</v>
      </c>
      <c r="AY25" s="39"/>
      <c r="AZ25" s="39"/>
      <c r="BA25" s="39"/>
      <c r="BB25" s="28">
        <f>SUM(AX25:BA25)</f>
        <v>33.764999999999993</v>
      </c>
      <c r="BC25" s="39"/>
      <c r="BD25" s="39"/>
      <c r="BE25" s="39"/>
      <c r="BF25" s="28">
        <f>SUM(BB25:BE25)</f>
        <v>33.764999999999993</v>
      </c>
      <c r="BG25" s="39"/>
      <c r="BH25" s="39"/>
      <c r="BI25" s="39"/>
      <c r="BJ25" s="28">
        <f>SUM(BF25:BI25)</f>
        <v>33.764999999999993</v>
      </c>
    </row>
    <row r="26" spans="1:62" ht="12.75" customHeight="1" x14ac:dyDescent="0.2">
      <c r="F26" s="26"/>
      <c r="G26" s="40"/>
      <c r="H26" s="49"/>
      <c r="I26" s="40"/>
      <c r="J26" s="26"/>
      <c r="K26" s="27"/>
      <c r="L26" s="41"/>
      <c r="M26" s="50"/>
      <c r="N26" s="41"/>
      <c r="O26" s="41"/>
      <c r="P26" s="28"/>
      <c r="Q26" s="39"/>
      <c r="R26" s="39"/>
      <c r="S26" s="39"/>
      <c r="T26" s="26"/>
      <c r="U26" s="40"/>
      <c r="V26" s="49"/>
      <c r="W26" s="40"/>
      <c r="X26" s="26"/>
      <c r="Y26" s="27"/>
      <c r="Z26" s="41"/>
      <c r="AA26" s="50"/>
      <c r="AB26" s="41"/>
      <c r="AC26" s="41"/>
      <c r="AD26" s="28"/>
      <c r="AE26" s="39"/>
      <c r="AF26" s="39"/>
      <c r="AG26" s="39"/>
      <c r="AH26" s="28"/>
      <c r="AI26" s="39"/>
      <c r="AJ26" s="39"/>
      <c r="AK26" s="39"/>
      <c r="AL26" s="28"/>
      <c r="AM26" s="39"/>
      <c r="AN26" s="39"/>
      <c r="AO26" s="39"/>
      <c r="AP26" s="28"/>
      <c r="AQ26" s="39"/>
      <c r="AR26" s="39"/>
      <c r="AS26" s="39"/>
      <c r="AT26" s="28"/>
      <c r="AU26" s="39"/>
      <c r="AV26" s="39"/>
      <c r="AW26" s="39"/>
      <c r="AX26" s="28"/>
      <c r="AY26" s="39"/>
      <c r="AZ26" s="39"/>
      <c r="BA26" s="39"/>
      <c r="BB26" s="28"/>
      <c r="BC26" s="39"/>
      <c r="BD26" s="39"/>
      <c r="BE26" s="39"/>
      <c r="BF26" s="28"/>
      <c r="BG26" s="39"/>
      <c r="BH26" s="39"/>
      <c r="BI26" s="39"/>
      <c r="BJ26" s="28"/>
    </row>
    <row r="27" spans="1:62" ht="12.75" customHeight="1" x14ac:dyDescent="0.2">
      <c r="A27" s="48"/>
      <c r="B27" s="2">
        <v>47620</v>
      </c>
      <c r="C27" s="1" t="s">
        <v>37</v>
      </c>
      <c r="D27" s="3" t="s">
        <v>38</v>
      </c>
      <c r="F27" s="26">
        <v>36.848999999999997</v>
      </c>
      <c r="G27" s="51">
        <v>68.295000000000002</v>
      </c>
      <c r="H27" s="51">
        <v>-100</v>
      </c>
      <c r="I27" s="52"/>
      <c r="J27" s="26">
        <f>SUM(F27:I27)</f>
        <v>5.1440000000000055</v>
      </c>
      <c r="K27" s="27">
        <v>36.848999999999997</v>
      </c>
      <c r="L27" s="41"/>
      <c r="M27" s="41"/>
      <c r="N27" s="41"/>
      <c r="O27" s="41">
        <f>SUM(K27:N27)</f>
        <v>36.848999999999997</v>
      </c>
      <c r="P27" s="28">
        <v>36.848999999999997</v>
      </c>
      <c r="Q27" s="39"/>
      <c r="R27" s="39"/>
      <c r="S27" s="39"/>
      <c r="T27" s="26">
        <v>5.1440000000000055</v>
      </c>
      <c r="U27" s="51">
        <v>69.477000000000004</v>
      </c>
      <c r="V27" s="51">
        <f>-100+25.379</f>
        <v>-74.620999999999995</v>
      </c>
      <c r="W27" s="52"/>
      <c r="X27" s="26">
        <f>SUM(T27:W27)</f>
        <v>0</v>
      </c>
      <c r="Y27" s="27">
        <v>5.1440000000000055</v>
      </c>
      <c r="Z27" s="41"/>
      <c r="AA27" s="41"/>
      <c r="AB27" s="41"/>
      <c r="AC27" s="41">
        <f>SUM(Y27:AB27)</f>
        <v>5.1440000000000055</v>
      </c>
      <c r="AD27" s="28">
        <f>J27</f>
        <v>5.1440000000000055</v>
      </c>
      <c r="AE27" s="39">
        <f>U27</f>
        <v>69.477000000000004</v>
      </c>
      <c r="AF27" s="39">
        <f>V27</f>
        <v>-74.620999999999995</v>
      </c>
      <c r="AG27" s="39">
        <f>W27</f>
        <v>0</v>
      </c>
      <c r="AH27" s="28">
        <f>SUM(AD27:AG27)</f>
        <v>1.4210854715202004E-14</v>
      </c>
      <c r="AI27" s="39"/>
      <c r="AJ27" s="39"/>
      <c r="AK27" s="39"/>
      <c r="AL27" s="28">
        <f>SUM(AH27:AK27)</f>
        <v>1.4210854715202004E-14</v>
      </c>
      <c r="AM27" s="39"/>
      <c r="AN27" s="39"/>
      <c r="AO27" s="39"/>
      <c r="AP27" s="28">
        <f>SUM(AL27:AO27)</f>
        <v>1.4210854715202004E-14</v>
      </c>
      <c r="AQ27" s="39"/>
      <c r="AR27" s="39"/>
      <c r="AS27" s="39"/>
      <c r="AT27" s="28">
        <f>SUM(AP27:AS27)</f>
        <v>1.4210854715202004E-14</v>
      </c>
      <c r="AU27" s="39"/>
      <c r="AV27" s="39"/>
      <c r="AW27" s="39"/>
      <c r="AX27" s="28">
        <f>SUM(AT27:AW27)</f>
        <v>1.4210854715202004E-14</v>
      </c>
      <c r="AY27" s="39"/>
      <c r="AZ27" s="39"/>
      <c r="BA27" s="39"/>
      <c r="BB27" s="28">
        <f>SUM(AX27:BA27)</f>
        <v>1.4210854715202004E-14</v>
      </c>
      <c r="BC27" s="39"/>
      <c r="BD27" s="39"/>
      <c r="BE27" s="39"/>
      <c r="BF27" s="28">
        <f>SUM(BB27:BE27)</f>
        <v>1.4210854715202004E-14</v>
      </c>
      <c r="BG27" s="39"/>
      <c r="BH27" s="39"/>
      <c r="BI27" s="39"/>
      <c r="BJ27" s="28">
        <f>SUM(BF27:BI27)</f>
        <v>1.4210854715202004E-14</v>
      </c>
    </row>
    <row r="28" spans="1:62" ht="12.75" customHeight="1" thickBot="1" x14ac:dyDescent="0.25">
      <c r="F28" s="26"/>
      <c r="G28" s="26"/>
      <c r="H28" s="26"/>
      <c r="I28" s="26"/>
      <c r="J28" s="26"/>
      <c r="K28" s="27"/>
      <c r="L28" s="27"/>
      <c r="M28" s="27"/>
      <c r="N28" s="27"/>
      <c r="O28" s="27"/>
      <c r="P28" s="28"/>
      <c r="Q28" s="29"/>
      <c r="R28" s="29"/>
      <c r="S28" s="29"/>
      <c r="T28" s="26"/>
      <c r="U28" s="26"/>
      <c r="V28" s="26"/>
      <c r="W28" s="26"/>
      <c r="X28" s="26"/>
      <c r="Y28" s="27"/>
      <c r="Z28" s="27"/>
      <c r="AA28" s="27"/>
      <c r="AB28" s="27"/>
      <c r="AC28" s="27"/>
      <c r="AD28" s="28"/>
      <c r="AE28" s="29"/>
      <c r="AF28" s="29"/>
      <c r="AG28" s="29"/>
      <c r="AH28" s="28"/>
      <c r="AI28" s="29"/>
      <c r="AJ28" s="29"/>
      <c r="AK28" s="29"/>
      <c r="AL28" s="28"/>
      <c r="AM28" s="29"/>
      <c r="AN28" s="29"/>
      <c r="AO28" s="29"/>
      <c r="AP28" s="28"/>
      <c r="AQ28" s="29"/>
      <c r="AR28" s="29"/>
      <c r="AS28" s="29"/>
      <c r="AT28" s="28"/>
      <c r="AU28" s="29"/>
      <c r="AV28" s="29"/>
      <c r="AW28" s="29"/>
      <c r="AX28" s="28"/>
      <c r="AY28" s="29"/>
      <c r="AZ28" s="29"/>
      <c r="BA28" s="29"/>
      <c r="BB28" s="28"/>
      <c r="BC28" s="29"/>
      <c r="BD28" s="29"/>
      <c r="BE28" s="29"/>
      <c r="BF28" s="28"/>
      <c r="BG28" s="29"/>
      <c r="BH28" s="29"/>
      <c r="BI28" s="29"/>
      <c r="BJ28" s="28"/>
    </row>
    <row r="29" spans="1:62" ht="19.5" customHeight="1" thickBot="1" x14ac:dyDescent="0.3">
      <c r="D29" s="11" t="s">
        <v>29</v>
      </c>
      <c r="E29" s="11"/>
      <c r="F29" s="42">
        <f t="shared" ref="F29:BJ29" si="2">SUM(F23:F28)</f>
        <v>68.054000000000002</v>
      </c>
      <c r="G29" s="42">
        <f t="shared" si="2"/>
        <v>75.787000000000006</v>
      </c>
      <c r="H29" s="42">
        <f t="shared" si="2"/>
        <v>-100.581</v>
      </c>
      <c r="I29" s="42">
        <f t="shared" si="2"/>
        <v>0</v>
      </c>
      <c r="J29" s="42">
        <f t="shared" si="2"/>
        <v>43.26</v>
      </c>
      <c r="K29" s="43">
        <f t="shared" si="2"/>
        <v>68.054000000000002</v>
      </c>
      <c r="L29" s="43">
        <f t="shared" si="2"/>
        <v>0</v>
      </c>
      <c r="M29" s="43">
        <f t="shared" si="2"/>
        <v>0</v>
      </c>
      <c r="N29" s="43">
        <f t="shared" si="2"/>
        <v>0</v>
      </c>
      <c r="O29" s="43">
        <f t="shared" si="2"/>
        <v>68.054000000000002</v>
      </c>
      <c r="P29" s="44">
        <f t="shared" si="2"/>
        <v>68.054000000000002</v>
      </c>
      <c r="Q29" s="45">
        <f t="shared" si="2"/>
        <v>0</v>
      </c>
      <c r="R29" s="45">
        <f t="shared" si="2"/>
        <v>0</v>
      </c>
      <c r="S29" s="45">
        <f t="shared" si="2"/>
        <v>0</v>
      </c>
      <c r="T29" s="42">
        <f t="shared" si="2"/>
        <v>43.26</v>
      </c>
      <c r="U29" s="42">
        <f t="shared" si="2"/>
        <v>86.506</v>
      </c>
      <c r="V29" s="42">
        <f t="shared" si="2"/>
        <v>-74.620999999999995</v>
      </c>
      <c r="W29" s="42">
        <f t="shared" si="2"/>
        <v>-21.380000000000003</v>
      </c>
      <c r="X29" s="42">
        <f t="shared" si="2"/>
        <v>33.764999999999993</v>
      </c>
      <c r="Y29" s="43">
        <f t="shared" si="2"/>
        <v>43.26</v>
      </c>
      <c r="Z29" s="43">
        <f t="shared" si="2"/>
        <v>0</v>
      </c>
      <c r="AA29" s="43">
        <f t="shared" si="2"/>
        <v>0</v>
      </c>
      <c r="AB29" s="43">
        <f t="shared" si="2"/>
        <v>0</v>
      </c>
      <c r="AC29" s="43">
        <f t="shared" si="2"/>
        <v>43.26</v>
      </c>
      <c r="AD29" s="44">
        <f t="shared" si="2"/>
        <v>43.26</v>
      </c>
      <c r="AE29" s="45">
        <f t="shared" si="2"/>
        <v>86.506</v>
      </c>
      <c r="AF29" s="45">
        <f t="shared" si="2"/>
        <v>-74.620999999999995</v>
      </c>
      <c r="AG29" s="45">
        <f t="shared" si="2"/>
        <v>-21.380000000000003</v>
      </c>
      <c r="AH29" s="44">
        <f t="shared" si="2"/>
        <v>33.765000000000008</v>
      </c>
      <c r="AI29" s="45">
        <f t="shared" si="2"/>
        <v>0</v>
      </c>
      <c r="AJ29" s="45">
        <f t="shared" si="2"/>
        <v>0</v>
      </c>
      <c r="AK29" s="45">
        <f t="shared" si="2"/>
        <v>0</v>
      </c>
      <c r="AL29" s="44">
        <f t="shared" si="2"/>
        <v>33.765000000000008</v>
      </c>
      <c r="AM29" s="45">
        <f t="shared" si="2"/>
        <v>0</v>
      </c>
      <c r="AN29" s="45">
        <f t="shared" si="2"/>
        <v>0</v>
      </c>
      <c r="AO29" s="45">
        <f t="shared" si="2"/>
        <v>0</v>
      </c>
      <c r="AP29" s="44">
        <f t="shared" si="2"/>
        <v>33.765000000000008</v>
      </c>
      <c r="AQ29" s="45">
        <f t="shared" si="2"/>
        <v>0</v>
      </c>
      <c r="AR29" s="45">
        <f t="shared" si="2"/>
        <v>0</v>
      </c>
      <c r="AS29" s="45">
        <f t="shared" si="2"/>
        <v>0</v>
      </c>
      <c r="AT29" s="44">
        <f t="shared" si="2"/>
        <v>33.765000000000008</v>
      </c>
      <c r="AU29" s="45">
        <f t="shared" si="2"/>
        <v>0</v>
      </c>
      <c r="AV29" s="45">
        <f t="shared" si="2"/>
        <v>0</v>
      </c>
      <c r="AW29" s="45">
        <f t="shared" si="2"/>
        <v>0</v>
      </c>
      <c r="AX29" s="44">
        <f t="shared" si="2"/>
        <v>33.765000000000008</v>
      </c>
      <c r="AY29" s="45">
        <f t="shared" si="2"/>
        <v>0</v>
      </c>
      <c r="AZ29" s="45">
        <f t="shared" si="2"/>
        <v>0</v>
      </c>
      <c r="BA29" s="45">
        <f t="shared" si="2"/>
        <v>0</v>
      </c>
      <c r="BB29" s="44">
        <f t="shared" si="2"/>
        <v>33.765000000000008</v>
      </c>
      <c r="BC29" s="45">
        <f t="shared" si="2"/>
        <v>0</v>
      </c>
      <c r="BD29" s="45">
        <f t="shared" si="2"/>
        <v>0</v>
      </c>
      <c r="BE29" s="45">
        <f t="shared" si="2"/>
        <v>0</v>
      </c>
      <c r="BF29" s="44">
        <f t="shared" si="2"/>
        <v>33.765000000000008</v>
      </c>
      <c r="BG29" s="45">
        <f t="shared" si="2"/>
        <v>0</v>
      </c>
      <c r="BH29" s="45">
        <f t="shared" si="2"/>
        <v>0</v>
      </c>
      <c r="BI29" s="45">
        <f t="shared" si="2"/>
        <v>0</v>
      </c>
      <c r="BJ29" s="44">
        <f t="shared" si="2"/>
        <v>33.765000000000008</v>
      </c>
    </row>
    <row r="30" spans="1:62" ht="12.75" customHeight="1" thickTop="1" thickBot="1" x14ac:dyDescent="0.25">
      <c r="F30" s="26"/>
      <c r="G30" s="26"/>
      <c r="H30" s="26"/>
      <c r="I30" s="26"/>
      <c r="J30" s="26"/>
      <c r="K30" s="27"/>
      <c r="L30" s="27"/>
      <c r="M30" s="27"/>
      <c r="N30" s="27"/>
      <c r="O30" s="27"/>
      <c r="P30" s="28"/>
      <c r="Q30" s="29"/>
      <c r="R30" s="29"/>
      <c r="S30" s="29"/>
      <c r="T30" s="26"/>
      <c r="U30" s="26"/>
      <c r="V30" s="26"/>
      <c r="W30" s="26"/>
      <c r="X30" s="26"/>
      <c r="Y30" s="27"/>
      <c r="Z30" s="27"/>
      <c r="AA30" s="27"/>
      <c r="AB30" s="27"/>
      <c r="AC30" s="27"/>
      <c r="AD30" s="28"/>
      <c r="AE30" s="29"/>
      <c r="AF30" s="29"/>
      <c r="AG30" s="29"/>
      <c r="AH30" s="28"/>
      <c r="AI30" s="29"/>
      <c r="AJ30" s="29"/>
      <c r="AK30" s="29"/>
      <c r="AL30" s="28"/>
      <c r="AM30" s="29"/>
      <c r="AN30" s="29"/>
      <c r="AO30" s="29"/>
      <c r="AP30" s="28"/>
      <c r="AQ30" s="29"/>
      <c r="AR30" s="29"/>
      <c r="AS30" s="29"/>
      <c r="AT30" s="28"/>
      <c r="AU30" s="29"/>
      <c r="AV30" s="29"/>
      <c r="AW30" s="29"/>
      <c r="AX30" s="28"/>
      <c r="AY30" s="29"/>
      <c r="AZ30" s="29"/>
      <c r="BA30" s="29"/>
      <c r="BB30" s="28"/>
      <c r="BC30" s="29"/>
      <c r="BD30" s="29"/>
      <c r="BE30" s="29"/>
      <c r="BF30" s="28"/>
      <c r="BG30" s="29"/>
      <c r="BH30" s="29"/>
      <c r="BI30" s="29"/>
      <c r="BJ30" s="28"/>
    </row>
    <row r="31" spans="1:62" ht="36" customHeight="1" thickBot="1" x14ac:dyDescent="0.3">
      <c r="D31" s="53" t="s">
        <v>39</v>
      </c>
      <c r="E31" s="53"/>
      <c r="F31" s="42">
        <f t="shared" ref="F31:BJ31" si="3">F15+F21+F29</f>
        <v>10780.141000000001</v>
      </c>
      <c r="G31" s="42">
        <f t="shared" si="3"/>
        <v>312.81334000000004</v>
      </c>
      <c r="H31" s="42">
        <f t="shared" si="3"/>
        <v>-133.49299999999999</v>
      </c>
      <c r="I31" s="42">
        <f t="shared" si="3"/>
        <v>0</v>
      </c>
      <c r="J31" s="42">
        <f t="shared" si="3"/>
        <v>10959.46134</v>
      </c>
      <c r="K31" s="43">
        <f t="shared" si="3"/>
        <v>10780.141000000001</v>
      </c>
      <c r="L31" s="43">
        <f t="shared" si="3"/>
        <v>404.1</v>
      </c>
      <c r="M31" s="43">
        <f t="shared" si="3"/>
        <v>0</v>
      </c>
      <c r="N31" s="43">
        <f t="shared" si="3"/>
        <v>0</v>
      </c>
      <c r="O31" s="43">
        <f t="shared" si="3"/>
        <v>11184.241000000002</v>
      </c>
      <c r="P31" s="44">
        <f t="shared" si="3"/>
        <v>10780.141000000001</v>
      </c>
      <c r="Q31" s="45">
        <f t="shared" si="3"/>
        <v>404.1</v>
      </c>
      <c r="R31" s="45">
        <f t="shared" si="3"/>
        <v>0</v>
      </c>
      <c r="S31" s="45">
        <f t="shared" si="3"/>
        <v>0</v>
      </c>
      <c r="T31" s="42">
        <f t="shared" si="3"/>
        <v>10959.46134</v>
      </c>
      <c r="U31" s="42">
        <f t="shared" si="3"/>
        <v>86.506</v>
      </c>
      <c r="V31" s="42">
        <f t="shared" si="3"/>
        <v>-774.827</v>
      </c>
      <c r="W31" s="42">
        <f t="shared" si="3"/>
        <v>-21.380000000000003</v>
      </c>
      <c r="X31" s="42">
        <f t="shared" si="3"/>
        <v>10249.760339999999</v>
      </c>
      <c r="Y31" s="43">
        <f t="shared" si="3"/>
        <v>10959.46134</v>
      </c>
      <c r="Z31" s="43">
        <f t="shared" si="3"/>
        <v>0</v>
      </c>
      <c r="AA31" s="43">
        <f t="shared" si="3"/>
        <v>0</v>
      </c>
      <c r="AB31" s="43">
        <f t="shared" si="3"/>
        <v>0</v>
      </c>
      <c r="AC31" s="43">
        <f t="shared" si="3"/>
        <v>10959.46134</v>
      </c>
      <c r="AD31" s="44">
        <f t="shared" si="3"/>
        <v>10959.46134</v>
      </c>
      <c r="AE31" s="45">
        <f t="shared" si="3"/>
        <v>86.506</v>
      </c>
      <c r="AF31" s="45">
        <f t="shared" si="3"/>
        <v>-774.827</v>
      </c>
      <c r="AG31" s="45">
        <f t="shared" si="3"/>
        <v>-21.380000000000003</v>
      </c>
      <c r="AH31" s="44">
        <f t="shared" si="3"/>
        <v>10249.760339999999</v>
      </c>
      <c r="AI31" s="45">
        <f t="shared" si="3"/>
        <v>0</v>
      </c>
      <c r="AJ31" s="45">
        <f t="shared" si="3"/>
        <v>0</v>
      </c>
      <c r="AK31" s="45">
        <f t="shared" si="3"/>
        <v>0</v>
      </c>
      <c r="AL31" s="44">
        <f t="shared" si="3"/>
        <v>10249.760339999999</v>
      </c>
      <c r="AM31" s="45">
        <f t="shared" si="3"/>
        <v>0</v>
      </c>
      <c r="AN31" s="45">
        <f t="shared" si="3"/>
        <v>2.2051804826617172E-14</v>
      </c>
      <c r="AO31" s="45">
        <f t="shared" si="3"/>
        <v>0</v>
      </c>
      <c r="AP31" s="44">
        <f t="shared" si="3"/>
        <v>10249.760339999999</v>
      </c>
      <c r="AQ31" s="45">
        <f t="shared" si="3"/>
        <v>0</v>
      </c>
      <c r="AR31" s="45">
        <f t="shared" si="3"/>
        <v>-664.03200000000004</v>
      </c>
      <c r="AS31" s="45">
        <f t="shared" si="3"/>
        <v>0</v>
      </c>
      <c r="AT31" s="44">
        <f t="shared" si="3"/>
        <v>9585.7283399999997</v>
      </c>
      <c r="AU31" s="45">
        <f t="shared" si="3"/>
        <v>0</v>
      </c>
      <c r="AV31" s="45">
        <f t="shared" si="3"/>
        <v>-545.71299999999997</v>
      </c>
      <c r="AW31" s="45">
        <f t="shared" si="3"/>
        <v>-562.46100000000013</v>
      </c>
      <c r="AX31" s="44">
        <f t="shared" si="3"/>
        <v>8477.5543400000006</v>
      </c>
      <c r="AY31" s="45">
        <f t="shared" si="3"/>
        <v>0</v>
      </c>
      <c r="AZ31" s="45">
        <f t="shared" si="3"/>
        <v>-368.20700000000005</v>
      </c>
      <c r="BA31" s="45">
        <f t="shared" si="3"/>
        <v>0</v>
      </c>
      <c r="BB31" s="44">
        <f t="shared" si="3"/>
        <v>8109.3473400000012</v>
      </c>
      <c r="BC31" s="45">
        <f t="shared" si="3"/>
        <v>0</v>
      </c>
      <c r="BD31" s="45">
        <f t="shared" si="3"/>
        <v>0</v>
      </c>
      <c r="BE31" s="45">
        <f t="shared" si="3"/>
        <v>0</v>
      </c>
      <c r="BF31" s="44">
        <f t="shared" si="3"/>
        <v>8109.3473400000012</v>
      </c>
      <c r="BG31" s="45">
        <f t="shared" si="3"/>
        <v>0</v>
      </c>
      <c r="BH31" s="45">
        <f t="shared" si="3"/>
        <v>0</v>
      </c>
      <c r="BI31" s="45">
        <f t="shared" si="3"/>
        <v>0</v>
      </c>
      <c r="BJ31" s="44">
        <f t="shared" si="3"/>
        <v>8109.3473400000012</v>
      </c>
    </row>
    <row r="32" spans="1:62" ht="12.75" customHeight="1" thickTop="1" x14ac:dyDescent="0.2">
      <c r="F32" s="26"/>
      <c r="G32" s="26"/>
      <c r="H32" s="26"/>
      <c r="I32" s="26"/>
      <c r="J32" s="26"/>
      <c r="K32" s="27"/>
      <c r="L32" s="27"/>
      <c r="M32" s="27"/>
      <c r="N32" s="27"/>
      <c r="O32" s="27"/>
      <c r="P32" s="28"/>
      <c r="Q32" s="29"/>
      <c r="R32" s="29"/>
      <c r="S32" s="29"/>
      <c r="T32" s="26"/>
      <c r="U32" s="26"/>
      <c r="V32" s="26"/>
      <c r="W32" s="26"/>
      <c r="X32" s="26"/>
      <c r="Y32" s="27"/>
      <c r="Z32" s="27"/>
      <c r="AA32" s="27"/>
      <c r="AB32" s="27"/>
      <c r="AC32" s="27"/>
      <c r="AD32" s="28"/>
      <c r="AE32" s="29"/>
      <c r="AF32" s="29"/>
      <c r="AG32" s="29"/>
      <c r="AH32" s="28"/>
      <c r="AI32" s="29"/>
      <c r="AJ32" s="29"/>
      <c r="AK32" s="29"/>
      <c r="AL32" s="28"/>
      <c r="AM32" s="29"/>
      <c r="AN32" s="29"/>
      <c r="AO32" s="29"/>
      <c r="AP32" s="28"/>
      <c r="AQ32" s="29"/>
      <c r="AR32" s="29"/>
      <c r="AS32" s="29"/>
      <c r="AT32" s="28"/>
      <c r="AU32" s="29"/>
      <c r="AV32" s="29"/>
      <c r="AW32" s="29"/>
      <c r="AX32" s="28"/>
      <c r="AY32" s="29"/>
      <c r="AZ32" s="29"/>
      <c r="BA32" s="29"/>
      <c r="BB32" s="28"/>
      <c r="BC32" s="29"/>
      <c r="BD32" s="29"/>
      <c r="BE32" s="29"/>
      <c r="BF32" s="28"/>
      <c r="BG32" s="29"/>
      <c r="BH32" s="29"/>
      <c r="BI32" s="29"/>
      <c r="BJ32" s="28"/>
    </row>
    <row r="33" spans="1:62" ht="18" customHeight="1" x14ac:dyDescent="0.25">
      <c r="D33" s="46" t="s">
        <v>40</v>
      </c>
      <c r="E33" s="46"/>
      <c r="F33" s="26"/>
      <c r="G33" s="26"/>
      <c r="H33" s="26"/>
      <c r="I33" s="26"/>
      <c r="J33" s="26"/>
      <c r="K33" s="27"/>
      <c r="L33" s="27"/>
      <c r="M33" s="27"/>
      <c r="N33" s="27"/>
      <c r="O33" s="27"/>
      <c r="P33" s="28"/>
      <c r="Q33" s="29"/>
      <c r="R33" s="29"/>
      <c r="S33" s="29"/>
      <c r="T33" s="26"/>
      <c r="U33" s="26"/>
      <c r="V33" s="26"/>
      <c r="W33" s="26"/>
      <c r="X33" s="26"/>
      <c r="Y33" s="27"/>
      <c r="Z33" s="27"/>
      <c r="AA33" s="27"/>
      <c r="AB33" s="27"/>
      <c r="AC33" s="27"/>
      <c r="AD33" s="28"/>
      <c r="AE33" s="29"/>
      <c r="AF33" s="29"/>
      <c r="AG33" s="29"/>
      <c r="AH33" s="28"/>
      <c r="AI33" s="29"/>
      <c r="AJ33" s="29"/>
      <c r="AK33" s="29"/>
      <c r="AL33" s="28"/>
      <c r="AM33" s="29"/>
      <c r="AN33" s="29"/>
      <c r="AO33" s="29"/>
      <c r="AP33" s="28"/>
      <c r="AQ33" s="29"/>
      <c r="AR33" s="29"/>
      <c r="AS33" s="29"/>
      <c r="AT33" s="28"/>
      <c r="AU33" s="29"/>
      <c r="AV33" s="29"/>
      <c r="AW33" s="29"/>
      <c r="AX33" s="28"/>
      <c r="AY33" s="29"/>
      <c r="AZ33" s="29"/>
      <c r="BA33" s="29"/>
      <c r="BB33" s="28"/>
      <c r="BC33" s="29"/>
      <c r="BD33" s="29"/>
      <c r="BE33" s="29"/>
      <c r="BF33" s="28"/>
      <c r="BG33" s="29"/>
      <c r="BH33" s="29"/>
      <c r="BI33" s="29"/>
      <c r="BJ33" s="28"/>
    </row>
    <row r="34" spans="1:62" ht="12.75" customHeight="1" x14ac:dyDescent="0.25">
      <c r="D34" s="46"/>
      <c r="E34" s="46"/>
      <c r="F34" s="26"/>
      <c r="G34" s="26"/>
      <c r="H34" s="26"/>
      <c r="I34" s="26"/>
      <c r="J34" s="26"/>
      <c r="K34" s="27"/>
      <c r="L34" s="27"/>
      <c r="M34" s="27"/>
      <c r="N34" s="27"/>
      <c r="O34" s="27"/>
      <c r="P34" s="28"/>
      <c r="Q34" s="29"/>
      <c r="R34" s="29"/>
      <c r="S34" s="29"/>
      <c r="T34" s="26"/>
      <c r="U34" s="26"/>
      <c r="V34" s="26"/>
      <c r="W34" s="26"/>
      <c r="X34" s="26"/>
      <c r="Y34" s="27"/>
      <c r="Z34" s="27"/>
      <c r="AA34" s="27"/>
      <c r="AB34" s="27"/>
      <c r="AC34" s="27"/>
      <c r="AD34" s="28"/>
      <c r="AE34" s="29"/>
      <c r="AF34" s="29"/>
      <c r="AG34" s="29"/>
      <c r="AH34" s="28"/>
      <c r="AI34" s="29"/>
      <c r="AJ34" s="29"/>
      <c r="AK34" s="29"/>
      <c r="AL34" s="28"/>
      <c r="AM34" s="29"/>
      <c r="AN34" s="29"/>
      <c r="AO34" s="29"/>
      <c r="AP34" s="28"/>
      <c r="AQ34" s="29"/>
      <c r="AR34" s="29"/>
      <c r="AS34" s="29"/>
      <c r="AT34" s="28"/>
      <c r="AU34" s="29"/>
      <c r="AV34" s="29"/>
      <c r="AW34" s="29"/>
      <c r="AX34" s="28"/>
      <c r="AY34" s="29"/>
      <c r="AZ34" s="29"/>
      <c r="BA34" s="29"/>
      <c r="BB34" s="28"/>
      <c r="BC34" s="29"/>
      <c r="BD34" s="29"/>
      <c r="BE34" s="29"/>
      <c r="BF34" s="28"/>
      <c r="BG34" s="29"/>
      <c r="BH34" s="29"/>
      <c r="BI34" s="29"/>
      <c r="BJ34" s="28"/>
    </row>
    <row r="35" spans="1:62" s="55" customFormat="1" ht="12.75" customHeight="1" x14ac:dyDescent="0.2">
      <c r="A35" s="54">
        <v>940053</v>
      </c>
      <c r="B35" s="2">
        <v>37101</v>
      </c>
      <c r="C35" s="54" t="s">
        <v>41</v>
      </c>
      <c r="D35" s="55" t="s">
        <v>42</v>
      </c>
      <c r="F35" s="56">
        <v>0</v>
      </c>
      <c r="G35" s="57">
        <v>995.4</v>
      </c>
      <c r="H35" s="57">
        <v>-995.4</v>
      </c>
      <c r="I35" s="57"/>
      <c r="J35" s="56">
        <f>SUM(F35:I35)</f>
        <v>0</v>
      </c>
      <c r="K35" s="58">
        <v>0</v>
      </c>
      <c r="L35" s="59">
        <v>995.4</v>
      </c>
      <c r="M35" s="59">
        <v>-995.4</v>
      </c>
      <c r="N35" s="59"/>
      <c r="O35" s="59">
        <f>SUM(K35:N35)</f>
        <v>0</v>
      </c>
      <c r="P35" s="60">
        <v>0</v>
      </c>
      <c r="Q35" s="61">
        <v>995.4</v>
      </c>
      <c r="R35" s="61">
        <v>-995.4</v>
      </c>
      <c r="S35" s="61"/>
      <c r="T35" s="56">
        <v>0</v>
      </c>
      <c r="U35" s="62">
        <v>1044.9059999999999</v>
      </c>
      <c r="V35" s="62">
        <v>-1044.9059999999999</v>
      </c>
      <c r="W35" s="57"/>
      <c r="X35" s="56">
        <f>SUM(T35:W35)</f>
        <v>0</v>
      </c>
      <c r="Y35" s="58">
        <v>0</v>
      </c>
      <c r="Z35" s="59"/>
      <c r="AA35" s="59"/>
      <c r="AB35" s="59"/>
      <c r="AC35" s="59">
        <f>SUM(Y35:AB35)</f>
        <v>0</v>
      </c>
      <c r="AD35" s="60">
        <f>SUM(P35:S35)</f>
        <v>0</v>
      </c>
      <c r="AE35" s="39">
        <f>U35</f>
        <v>1044.9059999999999</v>
      </c>
      <c r="AF35" s="39">
        <f>V35</f>
        <v>-1044.9059999999999</v>
      </c>
      <c r="AG35" s="39">
        <f>W35</f>
        <v>0</v>
      </c>
      <c r="AH35" s="63">
        <f>SUM(AD35:AG35)</f>
        <v>0</v>
      </c>
      <c r="AI35" s="29">
        <v>840.47</v>
      </c>
      <c r="AJ35" s="29">
        <v>-840.47</v>
      </c>
      <c r="AK35" s="29"/>
      <c r="AL35" s="63">
        <f>SUM(AH35:AK35)</f>
        <v>0</v>
      </c>
      <c r="AM35" s="29">
        <f>1100-500-91.962</f>
        <v>508.03800000000001</v>
      </c>
      <c r="AN35" s="29">
        <f>-1100+500+91.962</f>
        <v>-508.03800000000001</v>
      </c>
      <c r="AO35" s="29"/>
      <c r="AP35" s="63">
        <f>SUM(AL35:AO35)</f>
        <v>0</v>
      </c>
      <c r="AQ35" s="29">
        <f>1100-500-91.962</f>
        <v>508.03800000000001</v>
      </c>
      <c r="AR35" s="29">
        <f>-1100+500+91.962</f>
        <v>-508.03800000000001</v>
      </c>
      <c r="AS35" s="29"/>
      <c r="AT35" s="63">
        <f>SUM(AP35:AS35)</f>
        <v>0</v>
      </c>
      <c r="AU35" s="29">
        <f>1100-500-91.962</f>
        <v>508.03800000000001</v>
      </c>
      <c r="AV35" s="29">
        <f>-1100+500+91.962</f>
        <v>-508.03800000000001</v>
      </c>
      <c r="AW35" s="29"/>
      <c r="AX35" s="63">
        <f>SUM(AT35:AW35)</f>
        <v>0</v>
      </c>
      <c r="AY35" s="29">
        <f>1100-500-91.962</f>
        <v>508.03800000000001</v>
      </c>
      <c r="AZ35" s="29">
        <f>-1100+500+91.962</f>
        <v>-508.03800000000001</v>
      </c>
      <c r="BA35" s="29"/>
      <c r="BB35" s="63">
        <f>SUM(AX35:BA35)</f>
        <v>0</v>
      </c>
      <c r="BC35" s="29">
        <f>1100-500-91.962</f>
        <v>508.03800000000001</v>
      </c>
      <c r="BD35" s="29">
        <f>-1100+500+91.962</f>
        <v>-508.03800000000001</v>
      </c>
      <c r="BE35" s="29"/>
      <c r="BF35" s="63">
        <f>SUM(BB35:BE35)</f>
        <v>0</v>
      </c>
      <c r="BG35" s="29">
        <f>1100-500-91.962</f>
        <v>508.03800000000001</v>
      </c>
      <c r="BH35" s="29">
        <f>-1100+500+91.962</f>
        <v>-508.03800000000001</v>
      </c>
      <c r="BI35" s="29"/>
      <c r="BJ35" s="63">
        <f>SUM(BF35:BI35)</f>
        <v>0</v>
      </c>
    </row>
    <row r="36" spans="1:62" s="55" customFormat="1" ht="12.75" customHeight="1" x14ac:dyDescent="0.2">
      <c r="A36" s="54"/>
      <c r="B36" s="64"/>
      <c r="C36" s="54"/>
      <c r="F36" s="56"/>
      <c r="G36" s="57"/>
      <c r="H36" s="57"/>
      <c r="I36" s="57"/>
      <c r="J36" s="56"/>
      <c r="K36" s="58"/>
      <c r="L36" s="59"/>
      <c r="M36" s="59"/>
      <c r="N36" s="59"/>
      <c r="O36" s="59"/>
      <c r="P36" s="60"/>
      <c r="Q36" s="61"/>
      <c r="R36" s="61"/>
      <c r="S36" s="61"/>
      <c r="T36" s="56"/>
      <c r="U36" s="57"/>
      <c r="V36" s="57"/>
      <c r="W36" s="57"/>
      <c r="X36" s="56"/>
      <c r="Y36" s="58"/>
      <c r="Z36" s="59"/>
      <c r="AA36" s="59"/>
      <c r="AB36" s="59"/>
      <c r="AC36" s="59"/>
      <c r="AD36" s="60"/>
      <c r="AE36" s="61"/>
      <c r="AF36" s="61"/>
      <c r="AG36" s="61"/>
      <c r="AH36" s="63"/>
      <c r="AI36" s="65"/>
      <c r="AJ36" s="65"/>
      <c r="AK36" s="65"/>
      <c r="AL36" s="63"/>
      <c r="AM36" s="65"/>
      <c r="AN36" s="65"/>
      <c r="AO36" s="65"/>
      <c r="AP36" s="63"/>
      <c r="AQ36" s="65"/>
      <c r="AR36" s="65"/>
      <c r="AS36" s="65"/>
      <c r="AT36" s="63"/>
      <c r="AU36" s="65"/>
      <c r="AV36" s="65"/>
      <c r="AW36" s="65"/>
      <c r="AX36" s="63"/>
      <c r="AY36" s="65"/>
      <c r="AZ36" s="65"/>
      <c r="BA36" s="65"/>
      <c r="BB36" s="63"/>
      <c r="BC36" s="65"/>
      <c r="BD36" s="65"/>
      <c r="BE36" s="65"/>
      <c r="BF36" s="63"/>
      <c r="BG36" s="65"/>
      <c r="BH36" s="65"/>
      <c r="BI36" s="65"/>
      <c r="BJ36" s="63"/>
    </row>
    <row r="37" spans="1:62" s="55" customFormat="1" ht="12.75" customHeight="1" x14ac:dyDescent="0.2">
      <c r="A37" s="54"/>
      <c r="B37" s="64"/>
      <c r="C37" s="54" t="s">
        <v>41</v>
      </c>
      <c r="D37" s="55" t="s">
        <v>43</v>
      </c>
      <c r="F37" s="56">
        <v>0</v>
      </c>
      <c r="G37" s="57">
        <v>15.6</v>
      </c>
      <c r="H37" s="57">
        <v>-15.6</v>
      </c>
      <c r="I37" s="57"/>
      <c r="J37" s="56">
        <f>SUM(F37:I37)</f>
        <v>0</v>
      </c>
      <c r="K37" s="58">
        <v>0</v>
      </c>
      <c r="L37" s="59"/>
      <c r="M37" s="59"/>
      <c r="N37" s="59"/>
      <c r="O37" s="59">
        <f>SUM(K37:N37)</f>
        <v>0</v>
      </c>
      <c r="P37" s="60">
        <v>0</v>
      </c>
      <c r="Q37" s="61"/>
      <c r="R37" s="61"/>
      <c r="S37" s="61"/>
      <c r="T37" s="56">
        <v>0</v>
      </c>
      <c r="U37" s="57">
        <v>0</v>
      </c>
      <c r="V37" s="57">
        <v>0</v>
      </c>
      <c r="W37" s="57"/>
      <c r="X37" s="56">
        <f>SUM(T37:W37)</f>
        <v>0</v>
      </c>
      <c r="Y37" s="58">
        <v>0</v>
      </c>
      <c r="Z37" s="59"/>
      <c r="AA37" s="59"/>
      <c r="AB37" s="59"/>
      <c r="AC37" s="59">
        <f>SUM(Y37:AB37)</f>
        <v>0</v>
      </c>
      <c r="AD37" s="60">
        <f>SUM(P37:S37)</f>
        <v>0</v>
      </c>
      <c r="AE37" s="39">
        <f>U37</f>
        <v>0</v>
      </c>
      <c r="AF37" s="39">
        <f>V37</f>
        <v>0</v>
      </c>
      <c r="AG37" s="39">
        <f>W37</f>
        <v>0</v>
      </c>
      <c r="AH37" s="63">
        <f>SUM(AD37:AG37)</f>
        <v>0</v>
      </c>
      <c r="AI37" s="29"/>
      <c r="AJ37" s="65"/>
      <c r="AK37" s="65"/>
      <c r="AL37" s="63">
        <f>SUM(AH37:AK37)</f>
        <v>0</v>
      </c>
      <c r="AM37" s="65"/>
      <c r="AN37" s="65"/>
      <c r="AO37" s="65"/>
      <c r="AP37" s="63">
        <f>SUM(AL37:AO37)</f>
        <v>0</v>
      </c>
      <c r="AQ37" s="65"/>
      <c r="AR37" s="65"/>
      <c r="AS37" s="65"/>
      <c r="AT37" s="63">
        <f>SUM(AP37:AS37)</f>
        <v>0</v>
      </c>
      <c r="AU37" s="65"/>
      <c r="AV37" s="65"/>
      <c r="AW37" s="65"/>
      <c r="AX37" s="63">
        <f>SUM(AT37:AW37)</f>
        <v>0</v>
      </c>
      <c r="AY37" s="65"/>
      <c r="AZ37" s="65"/>
      <c r="BA37" s="65"/>
      <c r="BB37" s="63">
        <f>SUM(AX37:BA37)</f>
        <v>0</v>
      </c>
      <c r="BC37" s="65"/>
      <c r="BD37" s="65"/>
      <c r="BE37" s="65"/>
      <c r="BF37" s="63">
        <f>SUM(BB37:BE37)</f>
        <v>0</v>
      </c>
      <c r="BG37" s="65"/>
      <c r="BH37" s="65"/>
      <c r="BI37" s="65"/>
      <c r="BJ37" s="63">
        <f>SUM(BF37:BI37)</f>
        <v>0</v>
      </c>
    </row>
    <row r="38" spans="1:62" s="55" customFormat="1" ht="12.75" customHeight="1" x14ac:dyDescent="0.2">
      <c r="A38" s="54"/>
      <c r="B38" s="64"/>
      <c r="C38" s="54"/>
      <c r="F38" s="56"/>
      <c r="G38" s="57"/>
      <c r="H38" s="57"/>
      <c r="I38" s="57"/>
      <c r="J38" s="56"/>
      <c r="K38" s="58"/>
      <c r="L38" s="59"/>
      <c r="M38" s="59"/>
      <c r="N38" s="59"/>
      <c r="O38" s="59"/>
      <c r="P38" s="60"/>
      <c r="Q38" s="61"/>
      <c r="R38" s="61"/>
      <c r="S38" s="61"/>
      <c r="T38" s="56"/>
      <c r="U38" s="57"/>
      <c r="V38" s="57"/>
      <c r="W38" s="57"/>
      <c r="X38" s="56"/>
      <c r="Y38" s="58"/>
      <c r="Z38" s="59"/>
      <c r="AA38" s="59"/>
      <c r="AB38" s="59"/>
      <c r="AC38" s="59"/>
      <c r="AD38" s="60"/>
      <c r="AE38" s="61"/>
      <c r="AF38" s="61"/>
      <c r="AG38" s="61"/>
      <c r="AH38" s="63"/>
      <c r="AI38" s="65"/>
      <c r="AJ38" s="65"/>
      <c r="AK38" s="65"/>
      <c r="AL38" s="63"/>
      <c r="AM38" s="65"/>
      <c r="AN38" s="65"/>
      <c r="AO38" s="65"/>
      <c r="AP38" s="63"/>
      <c r="AQ38" s="65"/>
      <c r="AR38" s="65"/>
      <c r="AS38" s="65"/>
      <c r="AT38" s="63"/>
      <c r="AU38" s="65"/>
      <c r="AV38" s="65"/>
      <c r="AW38" s="65"/>
      <c r="AX38" s="63"/>
      <c r="AY38" s="65"/>
      <c r="AZ38" s="65"/>
      <c r="BA38" s="65"/>
      <c r="BB38" s="63"/>
      <c r="BC38" s="65"/>
      <c r="BD38" s="65"/>
      <c r="BE38" s="65"/>
      <c r="BF38" s="63"/>
      <c r="BG38" s="65"/>
      <c r="BH38" s="65"/>
      <c r="BI38" s="65"/>
      <c r="BJ38" s="63"/>
    </row>
    <row r="39" spans="1:62" s="68" customFormat="1" ht="12.75" customHeight="1" x14ac:dyDescent="0.25">
      <c r="A39" s="66">
        <v>900034</v>
      </c>
      <c r="B39" s="67" t="s">
        <v>44</v>
      </c>
      <c r="C39" s="66" t="s">
        <v>45</v>
      </c>
      <c r="D39" s="68" t="s">
        <v>46</v>
      </c>
      <c r="F39" s="69">
        <v>9.9999999974897946E-4</v>
      </c>
      <c r="G39" s="70">
        <v>3430.2910000000002</v>
      </c>
      <c r="H39" s="70">
        <v>-668.24800000000005</v>
      </c>
      <c r="I39" s="70">
        <f>-277.683-1532.214+0.1</f>
        <v>-1809.797</v>
      </c>
      <c r="J39" s="69">
        <f>SUM(F39:I39)</f>
        <v>952.24699999999984</v>
      </c>
      <c r="K39" s="71">
        <v>9.9999999974897946E-4</v>
      </c>
      <c r="L39" s="72">
        <v>3353.2</v>
      </c>
      <c r="M39" s="72">
        <v>-1564.5</v>
      </c>
      <c r="N39" s="72">
        <f>-1532.214-256.483</f>
        <v>-1788.6969999999999</v>
      </c>
      <c r="O39" s="72">
        <f>SUM(K39:N39)</f>
        <v>3.9999999996780389E-3</v>
      </c>
      <c r="P39" s="73">
        <v>0</v>
      </c>
      <c r="Q39" s="74">
        <f>3294.2+59</f>
        <v>3353.2</v>
      </c>
      <c r="R39" s="74">
        <f>-1471.7-34.1+9.4</f>
        <v>-1496.3999999999999</v>
      </c>
      <c r="S39" s="74">
        <f>-1532.214-256.483-0.003-92.8+34.1-9.4</f>
        <v>-1856.8</v>
      </c>
      <c r="T39" s="75">
        <f>952.247-0.145</f>
        <v>952.10199999999998</v>
      </c>
      <c r="U39" s="75">
        <v>701.33199999999999</v>
      </c>
      <c r="V39" s="75">
        <f>-1148.022+0.2</f>
        <v>-1147.8219999999999</v>
      </c>
      <c r="W39" s="75">
        <f>W59*-1</f>
        <v>-505.64100000000002</v>
      </c>
      <c r="X39" s="75">
        <f>SUM(T39:W39)</f>
        <v>-2.8999999999939519E-2</v>
      </c>
      <c r="Y39" s="71">
        <f>952.247-0.145</f>
        <v>952.10199999999998</v>
      </c>
      <c r="Z39" s="72"/>
      <c r="AA39" s="72"/>
      <c r="AB39" s="72"/>
      <c r="AC39" s="72">
        <f>SUM(Y39:AB39)</f>
        <v>952.10199999999998</v>
      </c>
      <c r="AD39" s="73">
        <f>T39</f>
        <v>952.10199999999998</v>
      </c>
      <c r="AE39" s="76">
        <f>U39</f>
        <v>701.33199999999999</v>
      </c>
      <c r="AF39" s="76">
        <f>V39</f>
        <v>-1147.8219999999999</v>
      </c>
      <c r="AG39" s="76">
        <f>W39</f>
        <v>-505.64100000000002</v>
      </c>
      <c r="AH39" s="63">
        <f>SUM(AD39:AG39)+0.029</f>
        <v>6.0482868713407356E-14</v>
      </c>
      <c r="AI39" s="29">
        <f>1993.757+80-93.333</f>
        <v>1980.424</v>
      </c>
      <c r="AJ39" s="29"/>
      <c r="AK39" s="29">
        <f>-2033.6+53.164+0.012</f>
        <v>-1980.424</v>
      </c>
      <c r="AL39" s="63">
        <f>SUM(AH39:AK39)</f>
        <v>0</v>
      </c>
      <c r="AM39" s="29">
        <f>3775.256-72+275+8-137-50+150-500</f>
        <v>3449.2559999999999</v>
      </c>
      <c r="AN39" s="29">
        <f>-1701.176+1701.176</f>
        <v>0</v>
      </c>
      <c r="AO39" s="29">
        <f>-1369.3-2479.974+0.01+50-150+0.008-1+1+500</f>
        <v>-3449.2560000000003</v>
      </c>
      <c r="AP39" s="63">
        <f>SUM(AL39:AO39)</f>
        <v>0</v>
      </c>
      <c r="AQ39" s="29">
        <f>4931.243+80-93.333-72-360-246.347-0.17+8-50-500</f>
        <v>3697.3930000000009</v>
      </c>
      <c r="AR39" s="29">
        <f>-3424.901+15.092+500</f>
        <v>-2909.8089999999997</v>
      </c>
      <c r="AS39" s="29">
        <f>-787.584</f>
        <v>-787.58399999999995</v>
      </c>
      <c r="AT39" s="63">
        <f>SUM(AP39:AS39)</f>
        <v>1.2505552149377763E-12</v>
      </c>
      <c r="AU39" s="29">
        <f>4931.243+80-93.333-72-360-298.984-0.1-0.06+8-50-500</f>
        <v>3644.7659999999996</v>
      </c>
      <c r="AV39" s="29">
        <v>-3584.7449999999999</v>
      </c>
      <c r="AW39" s="29">
        <v>-60.021000000000001</v>
      </c>
      <c r="AX39" s="63">
        <f>SUM(AT39:AW39)</f>
        <v>1.0942358130705543E-12</v>
      </c>
      <c r="AY39" s="29">
        <f>4931.243+80-93.333-72-360-430.71+0.1-0.26+8-50-500</f>
        <v>3513.0400000000004</v>
      </c>
      <c r="AZ39" s="29">
        <f>-2312.566-91.962</f>
        <v>-2404.5279999999998</v>
      </c>
      <c r="BA39" s="29">
        <f>-60.021-1640.453+91.962+500</f>
        <v>-1108.5119999999999</v>
      </c>
      <c r="BB39" s="63">
        <f>SUM(AX39:BA39)</f>
        <v>0</v>
      </c>
      <c r="BC39" s="29">
        <f>4931.243+80-93.333-72-360-430.71+0.1-0.26+8-50-500</f>
        <v>3513.0400000000004</v>
      </c>
      <c r="BD39" s="29">
        <f>-3953.019+500</f>
        <v>-3453.0189999999998</v>
      </c>
      <c r="BE39" s="29">
        <v>-60.021000000000001</v>
      </c>
      <c r="BF39" s="63">
        <f>SUM(BB39:BE39)</f>
        <v>6.3948846218409017E-13</v>
      </c>
      <c r="BG39" s="29">
        <f>4014.7-500</f>
        <v>3514.7</v>
      </c>
      <c r="BH39" s="29">
        <f>-2348.146-96</f>
        <v>-2444.1460000000002</v>
      </c>
      <c r="BI39" s="29">
        <f>-60.021-1606.533+96+500</f>
        <v>-1070.5539999999999</v>
      </c>
      <c r="BJ39" s="63">
        <f>SUM(BF39:BI39)</f>
        <v>0</v>
      </c>
    </row>
    <row r="40" spans="1:62" s="55" customFormat="1" ht="12.75" customHeight="1" x14ac:dyDescent="0.2">
      <c r="A40" s="54"/>
      <c r="B40" s="64"/>
      <c r="C40" s="54"/>
      <c r="F40" s="56"/>
      <c r="G40" s="57"/>
      <c r="H40" s="57"/>
      <c r="I40" s="57"/>
      <c r="J40" s="56"/>
      <c r="K40" s="58"/>
      <c r="L40" s="59"/>
      <c r="M40" s="59"/>
      <c r="N40" s="59"/>
      <c r="O40" s="59"/>
      <c r="P40" s="60"/>
      <c r="Q40" s="61"/>
      <c r="R40" s="61"/>
      <c r="S40" s="61"/>
      <c r="T40" s="62"/>
      <c r="U40" s="62"/>
      <c r="V40" s="62"/>
      <c r="W40" s="62"/>
      <c r="X40" s="62"/>
      <c r="Y40" s="58"/>
      <c r="Z40" s="59"/>
      <c r="AA40" s="59"/>
      <c r="AB40" s="59"/>
      <c r="AC40" s="59"/>
      <c r="AD40" s="60"/>
      <c r="AE40" s="29"/>
      <c r="AF40" s="29"/>
      <c r="AG40" s="29"/>
      <c r="AH40" s="63"/>
      <c r="AI40" s="29"/>
      <c r="AJ40" s="29"/>
      <c r="AK40" s="29"/>
      <c r="AL40" s="63"/>
      <c r="AM40" s="29"/>
      <c r="AN40" s="29"/>
      <c r="AO40" s="29"/>
      <c r="AP40" s="63"/>
      <c r="AQ40" s="29"/>
      <c r="AR40" s="29"/>
      <c r="AS40" s="29"/>
      <c r="AT40" s="63"/>
      <c r="AU40" s="29"/>
      <c r="AV40" s="29"/>
      <c r="AW40" s="29"/>
      <c r="AX40" s="63"/>
      <c r="AY40" s="29"/>
      <c r="AZ40" s="29"/>
      <c r="BA40" s="29"/>
      <c r="BB40" s="63"/>
      <c r="BC40" s="29"/>
      <c r="BD40" s="29"/>
      <c r="BE40" s="29"/>
      <c r="BF40" s="63"/>
      <c r="BG40" s="29"/>
      <c r="BH40" s="29"/>
      <c r="BI40" s="29"/>
      <c r="BJ40" s="63"/>
    </row>
    <row r="41" spans="1:62" s="55" customFormat="1" ht="12.75" hidden="1" customHeight="1" x14ac:dyDescent="0.2">
      <c r="A41" s="54"/>
      <c r="B41" s="64"/>
      <c r="C41" s="54"/>
      <c r="D41" s="55" t="s">
        <v>47</v>
      </c>
      <c r="F41" s="56">
        <v>3.0999999999949068E-2</v>
      </c>
      <c r="G41" s="57"/>
      <c r="H41" s="57"/>
      <c r="I41" s="57"/>
      <c r="J41" s="56">
        <f>SUM(F41:I41)</f>
        <v>3.0999999999949068E-2</v>
      </c>
      <c r="K41" s="58">
        <v>3.0999999999949068E-2</v>
      </c>
      <c r="L41" s="59"/>
      <c r="M41" s="59"/>
      <c r="N41" s="59"/>
      <c r="O41" s="59">
        <f>SUM(K41:N41)</f>
        <v>3.0999999999949068E-2</v>
      </c>
      <c r="P41" s="60">
        <v>3.0999999999949068E-2</v>
      </c>
      <c r="Q41" s="61"/>
      <c r="R41" s="61"/>
      <c r="S41" s="61"/>
      <c r="T41" s="62">
        <v>3.0999999999949068E-2</v>
      </c>
      <c r="U41" s="62"/>
      <c r="V41" s="62"/>
      <c r="W41" s="62"/>
      <c r="X41" s="62">
        <f>SUM(T41:W41)</f>
        <v>3.0999999999949068E-2</v>
      </c>
      <c r="Y41" s="58">
        <v>3.0999999999949068E-2</v>
      </c>
      <c r="Z41" s="59"/>
      <c r="AA41" s="59"/>
      <c r="AB41" s="59"/>
      <c r="AC41" s="59">
        <f>SUM(Y41:AB41)</f>
        <v>3.0999999999949068E-2</v>
      </c>
      <c r="AD41" s="60">
        <f>SUM(P41:S41)</f>
        <v>3.0999999999949068E-2</v>
      </c>
      <c r="AE41" s="29"/>
      <c r="AF41" s="29"/>
      <c r="AG41" s="29"/>
      <c r="AH41" s="63">
        <f>SUM(AD41:AG41)</f>
        <v>3.0999999999949068E-2</v>
      </c>
      <c r="AI41" s="29"/>
      <c r="AJ41" s="29"/>
      <c r="AK41" s="29"/>
      <c r="AL41" s="63">
        <f>SUM(AH41:AK41)</f>
        <v>3.0999999999949068E-2</v>
      </c>
      <c r="AM41" s="29"/>
      <c r="AN41" s="29"/>
      <c r="AO41" s="29"/>
      <c r="AP41" s="63">
        <f>SUM(AL41:AO41)</f>
        <v>3.0999999999949068E-2</v>
      </c>
      <c r="AQ41" s="29"/>
      <c r="AR41" s="29"/>
      <c r="AS41" s="29"/>
      <c r="AT41" s="63">
        <f>SUM(AP41:AS41)</f>
        <v>3.0999999999949068E-2</v>
      </c>
      <c r="AU41" s="29"/>
      <c r="AV41" s="29"/>
      <c r="AW41" s="29"/>
      <c r="AX41" s="63">
        <f>SUM(AT41:AW41)</f>
        <v>3.0999999999949068E-2</v>
      </c>
      <c r="AY41" s="29"/>
      <c r="AZ41" s="29"/>
      <c r="BA41" s="29"/>
      <c r="BB41" s="63">
        <f>SUM(AX41:BA41)</f>
        <v>3.0999999999949068E-2</v>
      </c>
      <c r="BC41" s="29"/>
      <c r="BD41" s="29"/>
      <c r="BE41" s="29"/>
      <c r="BF41" s="63">
        <f>SUM(BB41:BE41)</f>
        <v>3.0999999999949068E-2</v>
      </c>
      <c r="BG41" s="29"/>
      <c r="BH41" s="29"/>
      <c r="BI41" s="29"/>
      <c r="BJ41" s="63">
        <f>SUM(BF41:BI41)</f>
        <v>3.0999999999949068E-2</v>
      </c>
    </row>
    <row r="42" spans="1:62" s="55" customFormat="1" ht="12.75" hidden="1" customHeight="1" x14ac:dyDescent="0.2">
      <c r="A42" s="54"/>
      <c r="B42" s="64"/>
      <c r="C42" s="54"/>
      <c r="F42" s="56"/>
      <c r="G42" s="57"/>
      <c r="H42" s="57"/>
      <c r="I42" s="57"/>
      <c r="J42" s="56"/>
      <c r="K42" s="58"/>
      <c r="L42" s="59"/>
      <c r="M42" s="59"/>
      <c r="N42" s="59"/>
      <c r="O42" s="59"/>
      <c r="P42" s="60"/>
      <c r="Q42" s="61"/>
      <c r="R42" s="61"/>
      <c r="S42" s="61"/>
      <c r="T42" s="62"/>
      <c r="U42" s="62"/>
      <c r="V42" s="62"/>
      <c r="W42" s="62"/>
      <c r="X42" s="62"/>
      <c r="Y42" s="58"/>
      <c r="Z42" s="59"/>
      <c r="AA42" s="59"/>
      <c r="AB42" s="59"/>
      <c r="AC42" s="59"/>
      <c r="AD42" s="60"/>
      <c r="AE42" s="29"/>
      <c r="AF42" s="29"/>
      <c r="AG42" s="29"/>
      <c r="AH42" s="63"/>
      <c r="AI42" s="29"/>
      <c r="AJ42" s="29"/>
      <c r="AK42" s="29"/>
      <c r="AL42" s="63"/>
      <c r="AM42" s="29"/>
      <c r="AN42" s="29"/>
      <c r="AO42" s="29"/>
      <c r="AP42" s="63"/>
      <c r="AQ42" s="29"/>
      <c r="AR42" s="29"/>
      <c r="AS42" s="29"/>
      <c r="AT42" s="63"/>
      <c r="AU42" s="29"/>
      <c r="AV42" s="29"/>
      <c r="AW42" s="29"/>
      <c r="AX42" s="63"/>
      <c r="AY42" s="29"/>
      <c r="AZ42" s="29"/>
      <c r="BA42" s="29"/>
      <c r="BB42" s="63"/>
      <c r="BC42" s="29"/>
      <c r="BD42" s="29"/>
      <c r="BE42" s="29"/>
      <c r="BF42" s="63"/>
      <c r="BG42" s="29"/>
      <c r="BH42" s="29"/>
      <c r="BI42" s="29"/>
      <c r="BJ42" s="63"/>
    </row>
    <row r="43" spans="1:62" s="68" customFormat="1" ht="12.75" customHeight="1" x14ac:dyDescent="0.2">
      <c r="A43" s="66" t="s">
        <v>48</v>
      </c>
      <c r="B43" s="67" t="s">
        <v>49</v>
      </c>
      <c r="C43" s="66" t="s">
        <v>50</v>
      </c>
      <c r="D43" s="68" t="s">
        <v>51</v>
      </c>
      <c r="F43" s="69">
        <v>14081.6</v>
      </c>
      <c r="G43" s="75">
        <f>1900+850+102.918-34.89-1.321</f>
        <v>2816.7070000000003</v>
      </c>
      <c r="H43" s="75"/>
      <c r="I43" s="77">
        <f>10.944+1532.214-0.1</f>
        <v>1543.058</v>
      </c>
      <c r="J43" s="69">
        <f>SUM(F43:I43)-0.098</f>
        <v>18441.267</v>
      </c>
      <c r="K43" s="71">
        <v>14081.6</v>
      </c>
      <c r="L43" s="72"/>
      <c r="M43" s="72">
        <v>-2881.1</v>
      </c>
      <c r="N43" s="72">
        <f>1532.214+10.944</f>
        <v>1543.1579999999999</v>
      </c>
      <c r="O43" s="72">
        <f>SUM(K43:N43)</f>
        <v>12743.657999999999</v>
      </c>
      <c r="P43" s="73">
        <f>14081.4+0.2</f>
        <v>14081.6</v>
      </c>
      <c r="Q43" s="74"/>
      <c r="R43" s="74">
        <f>-3910.3+34.1-2914.9-9.4</f>
        <v>-6800.5</v>
      </c>
      <c r="S43" s="74">
        <v>1532.2139999999999</v>
      </c>
      <c r="T43" s="75">
        <v>18441.267</v>
      </c>
      <c r="U43" s="75"/>
      <c r="V43" s="75">
        <v>-3774.51</v>
      </c>
      <c r="W43" s="75">
        <f>-1080.776-2027.064+10.265+11.115</f>
        <v>-3086.4600000000005</v>
      </c>
      <c r="X43" s="75">
        <f>SUM(T43:W43)</f>
        <v>11580.296999999999</v>
      </c>
      <c r="Y43" s="71">
        <v>18441.267</v>
      </c>
      <c r="Z43" s="72"/>
      <c r="AA43" s="72"/>
      <c r="AB43" s="72"/>
      <c r="AC43" s="72">
        <f>SUM(Y43:AB43)</f>
        <v>18441.267</v>
      </c>
      <c r="AD43" s="73">
        <f>J43</f>
        <v>18441.267</v>
      </c>
      <c r="AE43" s="76">
        <f>U43</f>
        <v>0</v>
      </c>
      <c r="AF43" s="76">
        <f>V43</f>
        <v>-3774.51</v>
      </c>
      <c r="AG43" s="76">
        <f>W43</f>
        <v>-3086.4600000000005</v>
      </c>
      <c r="AH43" s="63">
        <f>SUM(AD43:AG43)</f>
        <v>11580.296999999999</v>
      </c>
      <c r="AI43" s="78">
        <f>1080.776</f>
        <v>1080.7760000000001</v>
      </c>
      <c r="AJ43" s="29">
        <f>-11783.733+0.045-0.06+3894.691+1277.75</f>
        <v>-6611.3069999999998</v>
      </c>
      <c r="AK43" s="29">
        <f>-53.164-29.898</f>
        <v>-83.061999999999998</v>
      </c>
      <c r="AL43" s="63">
        <f>SUM(AH43:AK43)</f>
        <v>5966.7039999999988</v>
      </c>
      <c r="AM43" s="29">
        <f>128.557+500+23.286-600+1.043+2.3</f>
        <v>55.186000000000071</v>
      </c>
      <c r="AN43" s="29">
        <f>-580.4-767.1+0.177-91.962+75.501-3894.691-4.5</f>
        <v>-5262.9750000000004</v>
      </c>
      <c r="AO43" s="29">
        <f>1424.762-1-500</f>
        <v>923.76199999999994</v>
      </c>
      <c r="AP43" s="63">
        <f>SUM(AL43:AO43)</f>
        <v>1682.6769999999981</v>
      </c>
      <c r="AQ43" s="29"/>
      <c r="AR43" s="29">
        <f>-186-579.032-91.962+15.058-500+600-2.3+4.5</f>
        <v>-739.7360000000001</v>
      </c>
      <c r="AS43" s="29"/>
      <c r="AT43" s="63">
        <f>SUM(AP43:AS43)</f>
        <v>942.94099999999798</v>
      </c>
      <c r="AU43" s="29"/>
      <c r="AV43" s="29">
        <f>-1011.9+449.439</f>
        <v>-562.46100000000001</v>
      </c>
      <c r="AW43" s="29">
        <v>562.46100000000001</v>
      </c>
      <c r="AX43" s="63">
        <f>SUM(AT43:AW43)</f>
        <v>942.94099999999798</v>
      </c>
      <c r="AY43" s="29"/>
      <c r="AZ43" s="29">
        <v>-817.18200000000002</v>
      </c>
      <c r="BA43" s="29">
        <f>1640.453-91.962-500</f>
        <v>1048.491</v>
      </c>
      <c r="BB43" s="63">
        <f>SUM(AX43:BA43)</f>
        <v>1174.249999999998</v>
      </c>
      <c r="BC43" s="29">
        <f>1287+87.873+75-695.962+500+22.203+100-0.007+2.3</f>
        <v>1378.4069999999999</v>
      </c>
      <c r="BD43" s="29">
        <f>-1507.423-100-2.3+0.007</f>
        <v>-1609.7159999999999</v>
      </c>
      <c r="BE43" s="29"/>
      <c r="BF43" s="63">
        <f>SUM(BB43:BE43)</f>
        <v>942.94099999999798</v>
      </c>
      <c r="BG43" s="29"/>
      <c r="BH43" s="29">
        <v>0</v>
      </c>
      <c r="BI43" s="29">
        <f>1606.533-96-500</f>
        <v>1010.5329999999999</v>
      </c>
      <c r="BJ43" s="63">
        <f>SUM(BF43:BI43)</f>
        <v>1953.4739999999979</v>
      </c>
    </row>
    <row r="44" spans="1:62" s="55" customFormat="1" ht="12.75" customHeight="1" x14ac:dyDescent="0.2">
      <c r="A44" s="54"/>
      <c r="B44" s="64"/>
      <c r="C44" s="54"/>
      <c r="F44" s="56"/>
      <c r="G44" s="57"/>
      <c r="H44" s="57"/>
      <c r="I44" s="79"/>
      <c r="J44" s="56"/>
      <c r="K44" s="58"/>
      <c r="L44" s="59"/>
      <c r="M44" s="59"/>
      <c r="N44" s="59"/>
      <c r="O44" s="59"/>
      <c r="P44" s="60"/>
      <c r="Q44" s="61"/>
      <c r="R44" s="61"/>
      <c r="S44" s="61"/>
      <c r="T44" s="57"/>
      <c r="U44" s="57"/>
      <c r="V44" s="57"/>
      <c r="W44" s="57"/>
      <c r="X44" s="57"/>
      <c r="Y44" s="58"/>
      <c r="Z44" s="59"/>
      <c r="AA44" s="59"/>
      <c r="AB44" s="59"/>
      <c r="AC44" s="59"/>
      <c r="AD44" s="60"/>
      <c r="AE44" s="80"/>
      <c r="AF44" s="80"/>
      <c r="AG44" s="80"/>
      <c r="AH44" s="63"/>
      <c r="AI44" s="29"/>
      <c r="AJ44" s="29"/>
      <c r="AK44" s="29"/>
      <c r="AL44" s="63"/>
      <c r="AM44" s="29"/>
      <c r="AN44" s="29"/>
      <c r="AO44" s="29"/>
      <c r="AP44" s="63"/>
      <c r="AQ44" s="29"/>
      <c r="AR44" s="29"/>
      <c r="AS44" s="29"/>
      <c r="AT44" s="63"/>
      <c r="AU44" s="29"/>
      <c r="AV44" s="29"/>
      <c r="AW44" s="29"/>
      <c r="AX44" s="63"/>
      <c r="AY44" s="29"/>
      <c r="AZ44" s="29"/>
      <c r="BA44" s="29"/>
      <c r="BB44" s="63"/>
      <c r="BC44" s="29"/>
      <c r="BD44" s="29"/>
      <c r="BE44" s="29"/>
      <c r="BF44" s="63"/>
      <c r="BG44" s="29"/>
      <c r="BH44" s="29"/>
      <c r="BI44" s="29"/>
      <c r="BJ44" s="63"/>
    </row>
    <row r="45" spans="1:62" s="55" customFormat="1" ht="12.75" customHeight="1" x14ac:dyDescent="0.2">
      <c r="A45" s="54"/>
      <c r="B45" s="64"/>
      <c r="C45" s="54"/>
      <c r="D45" s="55" t="s">
        <v>52</v>
      </c>
      <c r="F45" s="56"/>
      <c r="G45" s="57"/>
      <c r="H45" s="57"/>
      <c r="I45" s="79"/>
      <c r="J45" s="56"/>
      <c r="K45" s="58"/>
      <c r="L45" s="59"/>
      <c r="M45" s="59"/>
      <c r="N45" s="59"/>
      <c r="O45" s="59"/>
      <c r="P45" s="60"/>
      <c r="Q45" s="61"/>
      <c r="R45" s="61"/>
      <c r="S45" s="61"/>
      <c r="T45" s="57"/>
      <c r="U45" s="57"/>
      <c r="V45" s="57"/>
      <c r="W45" s="57"/>
      <c r="X45" s="57"/>
      <c r="Y45" s="58"/>
      <c r="Z45" s="59"/>
      <c r="AA45" s="59"/>
      <c r="AB45" s="59"/>
      <c r="AC45" s="59"/>
      <c r="AD45" s="60"/>
      <c r="AE45" s="80"/>
      <c r="AF45" s="80"/>
      <c r="AG45" s="80"/>
      <c r="AH45" s="63">
        <v>0</v>
      </c>
      <c r="AI45" s="29">
        <v>2100</v>
      </c>
      <c r="AJ45" s="29"/>
      <c r="AK45" s="29"/>
      <c r="AL45" s="63">
        <f>SUM(AH45:AK45)</f>
        <v>2100</v>
      </c>
      <c r="AM45" s="29"/>
      <c r="AN45" s="29">
        <v>-2100</v>
      </c>
      <c r="AO45" s="29"/>
      <c r="AP45" s="63">
        <f>SUM(AL45:AO45)</f>
        <v>0</v>
      </c>
      <c r="AQ45" s="29"/>
      <c r="AR45" s="29"/>
      <c r="AS45" s="29"/>
      <c r="AT45" s="63">
        <f>SUM(AP45:AS45)</f>
        <v>0</v>
      </c>
      <c r="AU45" s="29"/>
      <c r="AV45" s="29"/>
      <c r="AW45" s="29"/>
      <c r="AX45" s="63">
        <f>SUM(AT45:AW45)</f>
        <v>0</v>
      </c>
      <c r="AY45" s="29"/>
      <c r="AZ45" s="29"/>
      <c r="BA45" s="29"/>
      <c r="BB45" s="63">
        <f>SUM(AX45:BA45)</f>
        <v>0</v>
      </c>
      <c r="BC45" s="29"/>
      <c r="BD45" s="29"/>
      <c r="BE45" s="29"/>
      <c r="BF45" s="63">
        <f>SUM(BB45:BE45)</f>
        <v>0</v>
      </c>
      <c r="BG45" s="29"/>
      <c r="BH45" s="29"/>
      <c r="BI45" s="29"/>
      <c r="BJ45" s="63">
        <f>SUM(BF45:BI45)</f>
        <v>0</v>
      </c>
    </row>
    <row r="46" spans="1:62" s="55" customFormat="1" ht="12.75" customHeight="1" x14ac:dyDescent="0.2">
      <c r="A46" s="54"/>
      <c r="B46" s="64"/>
      <c r="C46" s="54"/>
      <c r="F46" s="56"/>
      <c r="G46" s="57"/>
      <c r="H46" s="57"/>
      <c r="I46" s="79"/>
      <c r="J46" s="56"/>
      <c r="K46" s="58"/>
      <c r="L46" s="59"/>
      <c r="M46" s="59"/>
      <c r="N46" s="59"/>
      <c r="O46" s="59"/>
      <c r="P46" s="60"/>
      <c r="Q46" s="61"/>
      <c r="R46" s="61"/>
      <c r="S46" s="61"/>
      <c r="T46" s="57"/>
      <c r="U46" s="57"/>
      <c r="V46" s="57"/>
      <c r="W46" s="57"/>
      <c r="X46" s="57"/>
      <c r="Y46" s="58"/>
      <c r="Z46" s="59"/>
      <c r="AA46" s="59"/>
      <c r="AB46" s="59"/>
      <c r="AC46" s="59"/>
      <c r="AD46" s="60"/>
      <c r="AE46" s="80"/>
      <c r="AF46" s="80"/>
      <c r="AG46" s="80"/>
      <c r="AH46" s="63"/>
      <c r="AI46" s="29"/>
      <c r="AJ46" s="29"/>
      <c r="AK46" s="29"/>
      <c r="AL46" s="63"/>
      <c r="AM46" s="29"/>
      <c r="AN46" s="29"/>
      <c r="AO46" s="29"/>
      <c r="AP46" s="63"/>
      <c r="AQ46" s="29"/>
      <c r="AR46" s="29"/>
      <c r="AS46" s="29"/>
      <c r="AT46" s="63"/>
      <c r="AU46" s="29"/>
      <c r="AV46" s="29"/>
      <c r="AW46" s="29"/>
      <c r="AX46" s="63"/>
      <c r="AY46" s="29"/>
      <c r="AZ46" s="29"/>
      <c r="BA46" s="29"/>
      <c r="BB46" s="63"/>
      <c r="BC46" s="29"/>
      <c r="BD46" s="29"/>
      <c r="BE46" s="29"/>
      <c r="BF46" s="63"/>
      <c r="BG46" s="29"/>
      <c r="BH46" s="29"/>
      <c r="BI46" s="29"/>
      <c r="BJ46" s="63"/>
    </row>
    <row r="47" spans="1:62" s="55" customFormat="1" ht="12.75" hidden="1" customHeight="1" x14ac:dyDescent="0.2">
      <c r="A47" s="54"/>
      <c r="B47" s="64"/>
      <c r="C47" s="54" t="s">
        <v>53</v>
      </c>
      <c r="D47" s="55" t="s">
        <v>54</v>
      </c>
      <c r="F47" s="56">
        <v>0</v>
      </c>
      <c r="G47" s="57"/>
      <c r="H47" s="57"/>
      <c r="I47" s="57"/>
      <c r="J47" s="56">
        <f>SUM(F47:I47)</f>
        <v>0</v>
      </c>
      <c r="K47" s="58">
        <v>0</v>
      </c>
      <c r="L47" s="59"/>
      <c r="M47" s="59"/>
      <c r="N47" s="59"/>
      <c r="O47" s="59">
        <f>SUM(K47:N47)</f>
        <v>0</v>
      </c>
      <c r="P47" s="60">
        <v>0</v>
      </c>
      <c r="Q47" s="61"/>
      <c r="R47" s="61"/>
      <c r="S47" s="61"/>
      <c r="T47" s="62">
        <v>0</v>
      </c>
      <c r="U47" s="62"/>
      <c r="V47" s="62"/>
      <c r="W47" s="62"/>
      <c r="X47" s="62">
        <f>SUM(T47:W47)</f>
        <v>0</v>
      </c>
      <c r="Y47" s="58">
        <v>0</v>
      </c>
      <c r="Z47" s="59"/>
      <c r="AA47" s="59"/>
      <c r="AB47" s="59"/>
      <c r="AC47" s="59">
        <f>SUM(Y47:AB47)</f>
        <v>0</v>
      </c>
      <c r="AD47" s="60">
        <f>SUM(P47:S47)</f>
        <v>0</v>
      </c>
      <c r="AE47" s="29"/>
      <c r="AF47" s="29"/>
      <c r="AG47" s="29"/>
      <c r="AH47" s="63">
        <f>SUM(AD47:AG47)</f>
        <v>0</v>
      </c>
      <c r="AI47" s="29"/>
      <c r="AJ47" s="29"/>
      <c r="AK47" s="29"/>
      <c r="AL47" s="63">
        <f>SUM(AH47:AK47)</f>
        <v>0</v>
      </c>
      <c r="AM47" s="29"/>
      <c r="AN47" s="29"/>
      <c r="AO47" s="29"/>
      <c r="AP47" s="63">
        <f>SUM(AL47:AO47)</f>
        <v>0</v>
      </c>
      <c r="AQ47" s="29"/>
      <c r="AR47" s="29"/>
      <c r="AS47" s="29"/>
      <c r="AT47" s="63">
        <f>SUM(AP47:AS47)</f>
        <v>0</v>
      </c>
      <c r="AU47" s="29"/>
      <c r="AV47" s="29"/>
      <c r="AW47" s="29"/>
      <c r="AX47" s="63">
        <f>SUM(AT47:AW47)</f>
        <v>0</v>
      </c>
      <c r="AY47" s="29"/>
      <c r="AZ47" s="29"/>
      <c r="BA47" s="29"/>
      <c r="BB47" s="63">
        <f>SUM(AX47:BA47)</f>
        <v>0</v>
      </c>
      <c r="BC47" s="29"/>
      <c r="BD47" s="29"/>
      <c r="BE47" s="29"/>
      <c r="BF47" s="63">
        <f>SUM(BB47:BE47)</f>
        <v>0</v>
      </c>
      <c r="BG47" s="29"/>
      <c r="BH47" s="29"/>
      <c r="BI47" s="29"/>
      <c r="BJ47" s="63">
        <f>SUM(BF47:BI47)</f>
        <v>0</v>
      </c>
    </row>
    <row r="48" spans="1:62" s="55" customFormat="1" ht="12.75" hidden="1" customHeight="1" x14ac:dyDescent="0.2">
      <c r="A48" s="54"/>
      <c r="B48" s="64"/>
      <c r="C48" s="54"/>
      <c r="F48" s="56"/>
      <c r="G48" s="57"/>
      <c r="H48" s="57"/>
      <c r="I48" s="57"/>
      <c r="J48" s="56"/>
      <c r="K48" s="58"/>
      <c r="L48" s="59"/>
      <c r="M48" s="59"/>
      <c r="N48" s="59"/>
      <c r="O48" s="59"/>
      <c r="P48" s="60"/>
      <c r="Q48" s="61"/>
      <c r="R48" s="61"/>
      <c r="S48" s="61"/>
      <c r="T48" s="62"/>
      <c r="U48" s="62"/>
      <c r="V48" s="62"/>
      <c r="W48" s="62"/>
      <c r="X48" s="62"/>
      <c r="Y48" s="58"/>
      <c r="Z48" s="59"/>
      <c r="AA48" s="59"/>
      <c r="AB48" s="59"/>
      <c r="AC48" s="59"/>
      <c r="AD48" s="60"/>
      <c r="AE48" s="29"/>
      <c r="AF48" s="29"/>
      <c r="AG48" s="29"/>
      <c r="AH48" s="63"/>
      <c r="AI48" s="29"/>
      <c r="AJ48" s="29"/>
      <c r="AK48" s="29"/>
      <c r="AL48" s="63"/>
      <c r="AM48" s="29"/>
      <c r="AN48" s="29"/>
      <c r="AO48" s="29"/>
      <c r="AP48" s="63"/>
      <c r="AQ48" s="29"/>
      <c r="AR48" s="29"/>
      <c r="AS48" s="29"/>
      <c r="AT48" s="63"/>
      <c r="AU48" s="29"/>
      <c r="AV48" s="29"/>
      <c r="AW48" s="29"/>
      <c r="AX48" s="63"/>
      <c r="AY48" s="29"/>
      <c r="AZ48" s="29"/>
      <c r="BA48" s="29"/>
      <c r="BB48" s="63"/>
      <c r="BC48" s="29"/>
      <c r="BD48" s="29"/>
      <c r="BE48" s="29"/>
      <c r="BF48" s="63"/>
      <c r="BG48" s="29"/>
      <c r="BH48" s="29"/>
      <c r="BI48" s="29"/>
      <c r="BJ48" s="63"/>
    </row>
    <row r="49" spans="1:62" s="55" customFormat="1" ht="12.75" hidden="1" customHeight="1" x14ac:dyDescent="0.2">
      <c r="A49" s="54"/>
      <c r="B49" s="64" t="s">
        <v>55</v>
      </c>
      <c r="C49" s="54" t="s">
        <v>56</v>
      </c>
      <c r="D49" s="55" t="s">
        <v>57</v>
      </c>
      <c r="F49" s="56">
        <v>0</v>
      </c>
      <c r="G49" s="57"/>
      <c r="H49" s="57"/>
      <c r="I49" s="57"/>
      <c r="J49" s="56">
        <f>SUM(F49:I49)</f>
        <v>0</v>
      </c>
      <c r="K49" s="58">
        <v>0</v>
      </c>
      <c r="L49" s="59"/>
      <c r="M49" s="59"/>
      <c r="N49" s="59"/>
      <c r="O49" s="59">
        <f>SUM(K49:N49)</f>
        <v>0</v>
      </c>
      <c r="P49" s="60">
        <v>0</v>
      </c>
      <c r="Q49" s="61"/>
      <c r="R49" s="61"/>
      <c r="S49" s="61"/>
      <c r="T49" s="62">
        <v>0</v>
      </c>
      <c r="U49" s="62"/>
      <c r="V49" s="62"/>
      <c r="W49" s="62"/>
      <c r="X49" s="62">
        <f>SUM(T49:W49)</f>
        <v>0</v>
      </c>
      <c r="Y49" s="58">
        <v>0</v>
      </c>
      <c r="Z49" s="59"/>
      <c r="AA49" s="59"/>
      <c r="AB49" s="59"/>
      <c r="AC49" s="59">
        <f>SUM(Y49:AB49)</f>
        <v>0</v>
      </c>
      <c r="AD49" s="60">
        <f>SUM(P49:S49)</f>
        <v>0</v>
      </c>
      <c r="AE49" s="29"/>
      <c r="AF49" s="29"/>
      <c r="AG49" s="29"/>
      <c r="AH49" s="63">
        <f>SUM(AD49:AG49)</f>
        <v>0</v>
      </c>
      <c r="AI49" s="29"/>
      <c r="AJ49" s="29"/>
      <c r="AK49" s="29"/>
      <c r="AL49" s="63">
        <f>SUM(AH49:AK49)</f>
        <v>0</v>
      </c>
      <c r="AM49" s="29"/>
      <c r="AN49" s="29"/>
      <c r="AO49" s="29"/>
      <c r="AP49" s="63">
        <f>SUM(AL49:AO49)</f>
        <v>0</v>
      </c>
      <c r="AQ49" s="29"/>
      <c r="AR49" s="29"/>
      <c r="AS49" s="29"/>
      <c r="AT49" s="63">
        <f>SUM(AP49:AS49)</f>
        <v>0</v>
      </c>
      <c r="AU49" s="29"/>
      <c r="AV49" s="29"/>
      <c r="AW49" s="29"/>
      <c r="AX49" s="63">
        <f>SUM(AT49:AW49)</f>
        <v>0</v>
      </c>
      <c r="AY49" s="29"/>
      <c r="AZ49" s="29"/>
      <c r="BA49" s="29"/>
      <c r="BB49" s="63">
        <f>SUM(AX49:BA49)</f>
        <v>0</v>
      </c>
      <c r="BC49" s="29"/>
      <c r="BD49" s="29"/>
      <c r="BE49" s="29"/>
      <c r="BF49" s="63">
        <f>SUM(BB49:BE49)</f>
        <v>0</v>
      </c>
      <c r="BG49" s="29"/>
      <c r="BH49" s="29"/>
      <c r="BI49" s="29"/>
      <c r="BJ49" s="63">
        <f>SUM(BF49:BI49)</f>
        <v>0</v>
      </c>
    </row>
    <row r="50" spans="1:62" s="55" customFormat="1" ht="12.75" hidden="1" customHeight="1" x14ac:dyDescent="0.2">
      <c r="A50" s="54"/>
      <c r="B50" s="64"/>
      <c r="C50" s="54"/>
      <c r="F50" s="56"/>
      <c r="G50" s="57"/>
      <c r="H50" s="57"/>
      <c r="I50" s="57"/>
      <c r="J50" s="56"/>
      <c r="K50" s="58"/>
      <c r="L50" s="59"/>
      <c r="M50" s="59"/>
      <c r="N50" s="59"/>
      <c r="O50" s="59"/>
      <c r="P50" s="60"/>
      <c r="Q50" s="61"/>
      <c r="R50" s="61"/>
      <c r="S50" s="61"/>
      <c r="T50" s="62"/>
      <c r="U50" s="62"/>
      <c r="V50" s="62"/>
      <c r="W50" s="62"/>
      <c r="X50" s="62"/>
      <c r="Y50" s="58"/>
      <c r="Z50" s="59"/>
      <c r="AA50" s="59"/>
      <c r="AB50" s="59"/>
      <c r="AC50" s="59"/>
      <c r="AD50" s="60"/>
      <c r="AE50" s="29"/>
      <c r="AF50" s="29"/>
      <c r="AG50" s="29"/>
      <c r="AH50" s="63"/>
      <c r="AI50" s="29"/>
      <c r="AJ50" s="29"/>
      <c r="AK50" s="29"/>
      <c r="AL50" s="63"/>
      <c r="AM50" s="29"/>
      <c r="AN50" s="29"/>
      <c r="AO50" s="29"/>
      <c r="AP50" s="63"/>
      <c r="AQ50" s="29"/>
      <c r="AR50" s="29"/>
      <c r="AS50" s="29"/>
      <c r="AT50" s="63"/>
      <c r="AU50" s="29"/>
      <c r="AV50" s="29"/>
      <c r="AW50" s="29"/>
      <c r="AX50" s="63"/>
      <c r="AY50" s="29"/>
      <c r="AZ50" s="29"/>
      <c r="BA50" s="29"/>
      <c r="BB50" s="63"/>
      <c r="BC50" s="29"/>
      <c r="BD50" s="29"/>
      <c r="BE50" s="29"/>
      <c r="BF50" s="63"/>
      <c r="BG50" s="29"/>
      <c r="BH50" s="29"/>
      <c r="BI50" s="29"/>
      <c r="BJ50" s="63"/>
    </row>
    <row r="51" spans="1:62" s="55" customFormat="1" ht="12.75" hidden="1" customHeight="1" x14ac:dyDescent="0.2">
      <c r="A51" s="54"/>
      <c r="B51" s="64" t="s">
        <v>58</v>
      </c>
      <c r="C51" s="54" t="s">
        <v>59</v>
      </c>
      <c r="D51" s="55" t="s">
        <v>60</v>
      </c>
      <c r="F51" s="56">
        <v>0</v>
      </c>
      <c r="G51" s="57"/>
      <c r="H51" s="57"/>
      <c r="I51" s="57"/>
      <c r="J51" s="56">
        <f>SUM(F51:I51)</f>
        <v>0</v>
      </c>
      <c r="K51" s="58">
        <v>0</v>
      </c>
      <c r="L51" s="59"/>
      <c r="M51" s="59"/>
      <c r="N51" s="59"/>
      <c r="O51" s="59">
        <f>SUM(K51:N51)</f>
        <v>0</v>
      </c>
      <c r="P51" s="60">
        <v>0</v>
      </c>
      <c r="Q51" s="61"/>
      <c r="R51" s="61"/>
      <c r="S51" s="61"/>
      <c r="T51" s="62">
        <v>0</v>
      </c>
      <c r="U51" s="62"/>
      <c r="V51" s="62"/>
      <c r="W51" s="62"/>
      <c r="X51" s="62">
        <f>SUM(T51:W51)</f>
        <v>0</v>
      </c>
      <c r="Y51" s="58">
        <v>0</v>
      </c>
      <c r="Z51" s="59"/>
      <c r="AA51" s="59"/>
      <c r="AB51" s="59"/>
      <c r="AC51" s="59">
        <f>SUM(Y51:AB51)</f>
        <v>0</v>
      </c>
      <c r="AD51" s="60">
        <f>SUM(P51:S51)</f>
        <v>0</v>
      </c>
      <c r="AE51" s="29"/>
      <c r="AF51" s="29"/>
      <c r="AG51" s="29"/>
      <c r="AH51" s="63">
        <f>SUM(AD51:AG51)</f>
        <v>0</v>
      </c>
      <c r="AI51" s="29"/>
      <c r="AJ51" s="29"/>
      <c r="AK51" s="29"/>
      <c r="AL51" s="63">
        <f>SUM(AH51:AK51)</f>
        <v>0</v>
      </c>
      <c r="AM51" s="29"/>
      <c r="AN51" s="29"/>
      <c r="AO51" s="29"/>
      <c r="AP51" s="63">
        <f>SUM(AL51:AO51)</f>
        <v>0</v>
      </c>
      <c r="AQ51" s="29"/>
      <c r="AR51" s="29"/>
      <c r="AS51" s="29"/>
      <c r="AT51" s="63">
        <f>SUM(AP51:AS51)</f>
        <v>0</v>
      </c>
      <c r="AU51" s="29"/>
      <c r="AV51" s="29"/>
      <c r="AW51" s="29"/>
      <c r="AX51" s="63">
        <f>SUM(AT51:AW51)</f>
        <v>0</v>
      </c>
      <c r="AY51" s="29"/>
      <c r="AZ51" s="29"/>
      <c r="BA51" s="29"/>
      <c r="BB51" s="63">
        <f>SUM(AX51:BA51)</f>
        <v>0</v>
      </c>
      <c r="BC51" s="29"/>
      <c r="BD51" s="29"/>
      <c r="BE51" s="29"/>
      <c r="BF51" s="63">
        <f>SUM(BB51:BE51)</f>
        <v>0</v>
      </c>
      <c r="BG51" s="29"/>
      <c r="BH51" s="29"/>
      <c r="BI51" s="29"/>
      <c r="BJ51" s="63">
        <f>SUM(BF51:BI51)</f>
        <v>0</v>
      </c>
    </row>
    <row r="52" spans="1:62" s="55" customFormat="1" ht="12.75" hidden="1" customHeight="1" x14ac:dyDescent="0.2">
      <c r="A52" s="54"/>
      <c r="B52" s="64"/>
      <c r="C52" s="54"/>
      <c r="F52" s="56"/>
      <c r="G52" s="57"/>
      <c r="H52" s="57"/>
      <c r="I52" s="57"/>
      <c r="J52" s="56"/>
      <c r="K52" s="58"/>
      <c r="L52" s="59"/>
      <c r="M52" s="59"/>
      <c r="N52" s="59"/>
      <c r="O52" s="59"/>
      <c r="P52" s="60"/>
      <c r="Q52" s="61"/>
      <c r="R52" s="61"/>
      <c r="S52" s="61"/>
      <c r="T52" s="62"/>
      <c r="U52" s="62"/>
      <c r="V52" s="62"/>
      <c r="W52" s="62"/>
      <c r="X52" s="62"/>
      <c r="Y52" s="58"/>
      <c r="Z52" s="59"/>
      <c r="AA52" s="59"/>
      <c r="AB52" s="59"/>
      <c r="AC52" s="59"/>
      <c r="AD52" s="60"/>
      <c r="AE52" s="29"/>
      <c r="AF52" s="29"/>
      <c r="AG52" s="29"/>
      <c r="AH52" s="63"/>
      <c r="AI52" s="29"/>
      <c r="AJ52" s="29"/>
      <c r="AK52" s="29"/>
      <c r="AL52" s="63"/>
      <c r="AM52" s="29"/>
      <c r="AN52" s="29"/>
      <c r="AO52" s="29"/>
      <c r="AP52" s="63"/>
      <c r="AQ52" s="29"/>
      <c r="AR52" s="29"/>
      <c r="AS52" s="29"/>
      <c r="AT52" s="63"/>
      <c r="AU52" s="29"/>
      <c r="AV52" s="29"/>
      <c r="AW52" s="29"/>
      <c r="AX52" s="63"/>
      <c r="AY52" s="29"/>
      <c r="AZ52" s="29"/>
      <c r="BA52" s="29"/>
      <c r="BB52" s="63"/>
      <c r="BC52" s="29"/>
      <c r="BD52" s="29"/>
      <c r="BE52" s="29"/>
      <c r="BF52" s="63"/>
      <c r="BG52" s="29"/>
      <c r="BH52" s="29"/>
      <c r="BI52" s="29"/>
      <c r="BJ52" s="63"/>
    </row>
    <row r="53" spans="1:62" s="68" customFormat="1" ht="12.75" customHeight="1" x14ac:dyDescent="0.2">
      <c r="A53" s="66"/>
      <c r="B53" s="67"/>
      <c r="C53" s="66" t="s">
        <v>61</v>
      </c>
      <c r="D53" s="68" t="s">
        <v>62</v>
      </c>
      <c r="F53" s="69">
        <v>6717.3</v>
      </c>
      <c r="G53" s="75"/>
      <c r="H53" s="75"/>
      <c r="I53" s="75"/>
      <c r="J53" s="69">
        <f>SUM(F53:I53)</f>
        <v>6717.3</v>
      </c>
      <c r="K53" s="71">
        <v>6717.3</v>
      </c>
      <c r="L53" s="71"/>
      <c r="M53" s="72">
        <v>-150</v>
      </c>
      <c r="N53" s="72"/>
      <c r="O53" s="72">
        <f>SUM(K53:N53)</f>
        <v>6567.3</v>
      </c>
      <c r="P53" s="73">
        <v>6717.3</v>
      </c>
      <c r="Q53" s="81"/>
      <c r="R53" s="74">
        <v>-150</v>
      </c>
      <c r="S53" s="74"/>
      <c r="T53" s="75">
        <v>6717.3</v>
      </c>
      <c r="U53" s="75"/>
      <c r="V53" s="75"/>
      <c r="W53" s="75"/>
      <c r="X53" s="75">
        <f>SUM(T53:W53)</f>
        <v>6717.3</v>
      </c>
      <c r="Y53" s="71">
        <v>6717.3</v>
      </c>
      <c r="Z53" s="71"/>
      <c r="AA53" s="72"/>
      <c r="AB53" s="72"/>
      <c r="AC53" s="72">
        <f>SUM(Y53:AB53)</f>
        <v>6717.3</v>
      </c>
      <c r="AD53" s="73">
        <f>J53</f>
        <v>6717.3</v>
      </c>
      <c r="AE53" s="76">
        <f>U53</f>
        <v>0</v>
      </c>
      <c r="AF53" s="76">
        <f>V53</f>
        <v>0</v>
      </c>
      <c r="AG53" s="76">
        <f>W53</f>
        <v>0</v>
      </c>
      <c r="AH53" s="63">
        <f>SUM(AD53:AG53)+0.158</f>
        <v>6717.4580000000005</v>
      </c>
      <c r="AI53" s="29"/>
      <c r="AJ53" s="29">
        <f>-3861.7-605.1+371.7</f>
        <v>-4095.1000000000004</v>
      </c>
      <c r="AK53" s="29"/>
      <c r="AL53" s="63">
        <f>SUM(AH53:AK53)</f>
        <v>2622.3580000000002</v>
      </c>
      <c r="AM53" s="29"/>
      <c r="AN53" s="29">
        <f>-2250.5-371.7-0.158</f>
        <v>-2622.3579999999997</v>
      </c>
      <c r="AO53" s="29"/>
      <c r="AP53" s="63">
        <f>SUM(AL53:AO53)</f>
        <v>0</v>
      </c>
      <c r="AQ53" s="29"/>
      <c r="AR53" s="29"/>
      <c r="AS53" s="29"/>
      <c r="AT53" s="63">
        <f>SUM(AP53:AS53)</f>
        <v>0</v>
      </c>
      <c r="AU53" s="29"/>
      <c r="AV53" s="29"/>
      <c r="AW53" s="29"/>
      <c r="AX53" s="63">
        <f>SUM(AT53:AW53)</f>
        <v>0</v>
      </c>
      <c r="AY53" s="29"/>
      <c r="AZ53" s="29"/>
      <c r="BA53" s="29"/>
      <c r="BB53" s="63">
        <f>SUM(AX53:BA53)</f>
        <v>0</v>
      </c>
      <c r="BC53" s="29"/>
      <c r="BD53" s="29"/>
      <c r="BE53" s="29"/>
      <c r="BF53" s="63">
        <f>SUM(BB53:BE53)</f>
        <v>0</v>
      </c>
      <c r="BG53" s="29"/>
      <c r="BH53" s="29"/>
      <c r="BI53" s="29"/>
      <c r="BJ53" s="63">
        <f>SUM(BF53:BI53)</f>
        <v>0</v>
      </c>
    </row>
    <row r="54" spans="1:62" s="55" customFormat="1" ht="12.75" customHeight="1" thickBot="1" x14ac:dyDescent="0.25">
      <c r="A54" s="54"/>
      <c r="B54" s="64"/>
      <c r="C54" s="54"/>
      <c r="F54" s="56"/>
      <c r="G54" s="57"/>
      <c r="H54" s="57"/>
      <c r="I54" s="57"/>
      <c r="J54" s="56"/>
      <c r="K54" s="58"/>
      <c r="L54" s="59"/>
      <c r="M54" s="59"/>
      <c r="N54" s="59"/>
      <c r="O54" s="59"/>
      <c r="P54" s="60"/>
      <c r="Q54" s="61"/>
      <c r="R54" s="61"/>
      <c r="S54" s="61"/>
      <c r="T54" s="56"/>
      <c r="U54" s="57"/>
      <c r="V54" s="57"/>
      <c r="W54" s="57"/>
      <c r="X54" s="56"/>
      <c r="Y54" s="58"/>
      <c r="Z54" s="59"/>
      <c r="AA54" s="59"/>
      <c r="AB54" s="59"/>
      <c r="AC54" s="59"/>
      <c r="AD54" s="60"/>
      <c r="AE54" s="61"/>
      <c r="AF54" s="61"/>
      <c r="AG54" s="61"/>
      <c r="AH54" s="63"/>
      <c r="AI54" s="65"/>
      <c r="AJ54" s="65"/>
      <c r="AK54" s="65"/>
      <c r="AL54" s="63"/>
      <c r="AM54" s="65"/>
      <c r="AN54" s="65"/>
      <c r="AO54" s="65"/>
      <c r="AP54" s="63"/>
      <c r="AQ54" s="65"/>
      <c r="AR54" s="65"/>
      <c r="AS54" s="65"/>
      <c r="AT54" s="63"/>
      <c r="AU54" s="65"/>
      <c r="AV54" s="65"/>
      <c r="AW54" s="65"/>
      <c r="AX54" s="63"/>
      <c r="AY54" s="65"/>
      <c r="AZ54" s="65"/>
      <c r="BA54" s="65"/>
      <c r="BB54" s="63"/>
      <c r="BC54" s="65"/>
      <c r="BD54" s="65"/>
      <c r="BE54" s="65"/>
      <c r="BF54" s="63"/>
      <c r="BG54" s="65"/>
      <c r="BH54" s="65"/>
      <c r="BI54" s="65"/>
      <c r="BJ54" s="63"/>
    </row>
    <row r="55" spans="1:62" s="55" customFormat="1" ht="18.75" customHeight="1" thickBot="1" x14ac:dyDescent="0.3">
      <c r="A55" s="54"/>
      <c r="B55" s="64"/>
      <c r="C55" s="54"/>
      <c r="D55" s="82" t="s">
        <v>63</v>
      </c>
      <c r="E55" s="82"/>
      <c r="F55" s="83">
        <f t="shared" ref="F55:BJ55" si="4">SUM(F35:F54)</f>
        <v>20798.932000000001</v>
      </c>
      <c r="G55" s="83">
        <f t="shared" si="4"/>
        <v>7257.9980000000005</v>
      </c>
      <c r="H55" s="83">
        <f t="shared" si="4"/>
        <v>-1679.248</v>
      </c>
      <c r="I55" s="83">
        <f t="shared" si="4"/>
        <v>-266.73900000000003</v>
      </c>
      <c r="J55" s="83">
        <f t="shared" si="4"/>
        <v>26110.844999999998</v>
      </c>
      <c r="K55" s="84">
        <f t="shared" si="4"/>
        <v>20798.932000000001</v>
      </c>
      <c r="L55" s="84">
        <f t="shared" si="4"/>
        <v>4348.5999999999995</v>
      </c>
      <c r="M55" s="84">
        <f t="shared" si="4"/>
        <v>-5591</v>
      </c>
      <c r="N55" s="84">
        <f t="shared" si="4"/>
        <v>-245.53899999999999</v>
      </c>
      <c r="O55" s="84">
        <f t="shared" si="4"/>
        <v>19310.992999999999</v>
      </c>
      <c r="P55" s="85">
        <f t="shared" si="4"/>
        <v>20798.931</v>
      </c>
      <c r="Q55" s="86">
        <f t="shared" si="4"/>
        <v>4348.5999999999995</v>
      </c>
      <c r="R55" s="86">
        <f t="shared" si="4"/>
        <v>-9442.2999999999993</v>
      </c>
      <c r="S55" s="86">
        <f t="shared" si="4"/>
        <v>-324.58600000000001</v>
      </c>
      <c r="T55" s="83">
        <f t="shared" si="4"/>
        <v>26110.7</v>
      </c>
      <c r="U55" s="83">
        <f t="shared" si="4"/>
        <v>1746.2379999999998</v>
      </c>
      <c r="V55" s="83">
        <f t="shared" si="4"/>
        <v>-5967.2380000000003</v>
      </c>
      <c r="W55" s="83">
        <f t="shared" si="4"/>
        <v>-3592.1010000000006</v>
      </c>
      <c r="X55" s="83">
        <f t="shared" si="4"/>
        <v>18297.598999999998</v>
      </c>
      <c r="Y55" s="84">
        <f t="shared" si="4"/>
        <v>26110.7</v>
      </c>
      <c r="Z55" s="84">
        <f t="shared" si="4"/>
        <v>0</v>
      </c>
      <c r="AA55" s="84">
        <f t="shared" si="4"/>
        <v>0</v>
      </c>
      <c r="AB55" s="84">
        <f t="shared" si="4"/>
        <v>0</v>
      </c>
      <c r="AC55" s="84">
        <f t="shared" si="4"/>
        <v>26110.7</v>
      </c>
      <c r="AD55" s="85">
        <f t="shared" si="4"/>
        <v>26110.7</v>
      </c>
      <c r="AE55" s="86">
        <f t="shared" si="4"/>
        <v>1746.2379999999998</v>
      </c>
      <c r="AF55" s="86">
        <f t="shared" si="4"/>
        <v>-5967.2380000000003</v>
      </c>
      <c r="AG55" s="86">
        <f t="shared" si="4"/>
        <v>-3592.1010000000006</v>
      </c>
      <c r="AH55" s="87">
        <f t="shared" si="4"/>
        <v>18297.786</v>
      </c>
      <c r="AI55" s="88">
        <f t="shared" si="4"/>
        <v>6001.67</v>
      </c>
      <c r="AJ55" s="45">
        <f t="shared" si="4"/>
        <v>-11546.877</v>
      </c>
      <c r="AK55" s="45">
        <f t="shared" si="4"/>
        <v>-2063.4859999999999</v>
      </c>
      <c r="AL55" s="87">
        <f t="shared" si="4"/>
        <v>10689.092999999999</v>
      </c>
      <c r="AM55" s="88">
        <f t="shared" si="4"/>
        <v>4012.48</v>
      </c>
      <c r="AN55" s="45">
        <f t="shared" si="4"/>
        <v>-10493.371000000001</v>
      </c>
      <c r="AO55" s="45">
        <f t="shared" si="4"/>
        <v>-2525.4940000000006</v>
      </c>
      <c r="AP55" s="87">
        <f t="shared" si="4"/>
        <v>1682.707999999998</v>
      </c>
      <c r="AQ55" s="88">
        <f t="shared" si="4"/>
        <v>4205.4310000000005</v>
      </c>
      <c r="AR55" s="88">
        <f t="shared" si="4"/>
        <v>-4157.5829999999996</v>
      </c>
      <c r="AS55" s="45">
        <f t="shared" si="4"/>
        <v>-787.58399999999995</v>
      </c>
      <c r="AT55" s="87">
        <f t="shared" si="4"/>
        <v>942.97199999999918</v>
      </c>
      <c r="AU55" s="88">
        <f t="shared" si="4"/>
        <v>4152.8040000000001</v>
      </c>
      <c r="AV55" s="45">
        <f t="shared" si="4"/>
        <v>-4655.2439999999997</v>
      </c>
      <c r="AW55" s="45">
        <f t="shared" si="4"/>
        <v>502.44</v>
      </c>
      <c r="AX55" s="87">
        <f t="shared" si="4"/>
        <v>942.97199999999907</v>
      </c>
      <c r="AY55" s="88">
        <f t="shared" si="4"/>
        <v>4021.0780000000004</v>
      </c>
      <c r="AZ55" s="45">
        <f t="shared" si="4"/>
        <v>-3729.7479999999996</v>
      </c>
      <c r="BA55" s="45">
        <f t="shared" si="4"/>
        <v>-60.020999999999958</v>
      </c>
      <c r="BB55" s="87">
        <f t="shared" si="4"/>
        <v>1174.2809999999979</v>
      </c>
      <c r="BC55" s="88">
        <f t="shared" si="4"/>
        <v>5399.4850000000006</v>
      </c>
      <c r="BD55" s="45">
        <f t="shared" si="4"/>
        <v>-5570.7729999999992</v>
      </c>
      <c r="BE55" s="45">
        <f t="shared" si="4"/>
        <v>-60.021000000000001</v>
      </c>
      <c r="BF55" s="87">
        <f t="shared" si="4"/>
        <v>942.97199999999862</v>
      </c>
      <c r="BG55" s="88">
        <f t="shared" si="4"/>
        <v>4022.7379999999998</v>
      </c>
      <c r="BH55" s="45">
        <f t="shared" si="4"/>
        <v>-2952.1840000000002</v>
      </c>
      <c r="BI55" s="45">
        <f t="shared" si="4"/>
        <v>-60.020999999999958</v>
      </c>
      <c r="BJ55" s="87">
        <f t="shared" si="4"/>
        <v>1953.5049999999978</v>
      </c>
    </row>
    <row r="56" spans="1:62" ht="12.75" customHeight="1" thickTop="1" x14ac:dyDescent="0.2">
      <c r="F56" s="26"/>
      <c r="G56" s="26"/>
      <c r="H56" s="26"/>
      <c r="I56" s="26"/>
      <c r="J56" s="26"/>
      <c r="K56" s="27"/>
      <c r="L56" s="27"/>
      <c r="M56" s="27"/>
      <c r="N56" s="27"/>
      <c r="O56" s="27"/>
      <c r="P56" s="28"/>
      <c r="Q56" s="29"/>
      <c r="R56" s="29"/>
      <c r="S56" s="29"/>
      <c r="T56" s="26"/>
      <c r="U56" s="26"/>
      <c r="V56" s="26"/>
      <c r="W56" s="26"/>
      <c r="X56" s="26"/>
      <c r="Y56" s="27"/>
      <c r="Z56" s="27"/>
      <c r="AA56" s="27"/>
      <c r="AB56" s="27"/>
      <c r="AC56" s="27"/>
      <c r="AD56" s="28"/>
      <c r="AE56" s="29"/>
      <c r="AF56" s="29"/>
      <c r="AG56" s="29"/>
      <c r="AH56" s="28"/>
      <c r="AI56" s="29"/>
      <c r="AJ56" s="29"/>
      <c r="AK56" s="29"/>
      <c r="AL56" s="28"/>
      <c r="AM56" s="29"/>
      <c r="AN56" s="29"/>
      <c r="AO56" s="29"/>
      <c r="AP56" s="28"/>
      <c r="AQ56" s="29"/>
      <c r="AR56" s="29"/>
      <c r="AS56" s="29"/>
      <c r="AT56" s="28"/>
      <c r="AU56" s="29"/>
      <c r="AV56" s="29"/>
      <c r="AW56" s="29"/>
      <c r="AX56" s="28"/>
      <c r="AY56" s="29"/>
      <c r="AZ56" s="29"/>
      <c r="BA56" s="29"/>
      <c r="BB56" s="28"/>
      <c r="BC56" s="29"/>
      <c r="BD56" s="29"/>
      <c r="BE56" s="29"/>
      <c r="BF56" s="28"/>
      <c r="BG56" s="29"/>
      <c r="BH56" s="29"/>
      <c r="BI56" s="29"/>
      <c r="BJ56" s="28"/>
    </row>
    <row r="57" spans="1:62" ht="18" customHeight="1" x14ac:dyDescent="0.25">
      <c r="D57" s="25" t="s">
        <v>64</v>
      </c>
      <c r="E57" s="25"/>
      <c r="F57" s="26"/>
      <c r="G57" s="26"/>
      <c r="H57" s="26"/>
      <c r="I57" s="26"/>
      <c r="J57" s="26"/>
      <c r="K57" s="27"/>
      <c r="L57" s="27"/>
      <c r="M57" s="27"/>
      <c r="N57" s="27"/>
      <c r="O57" s="27"/>
      <c r="P57" s="28"/>
      <c r="Q57" s="29"/>
      <c r="R57" s="29"/>
      <c r="S57" s="29"/>
      <c r="T57" s="26"/>
      <c r="U57" s="26"/>
      <c r="V57" s="26"/>
      <c r="W57" s="26"/>
      <c r="X57" s="26"/>
      <c r="Y57" s="27"/>
      <c r="Z57" s="27"/>
      <c r="AA57" s="27"/>
      <c r="AB57" s="27"/>
      <c r="AC57" s="27"/>
      <c r="AD57" s="28"/>
      <c r="AE57" s="29"/>
      <c r="AF57" s="29"/>
      <c r="AG57" s="29"/>
      <c r="AH57" s="28"/>
      <c r="AI57" s="29"/>
      <c r="AJ57" s="29"/>
      <c r="AK57" s="29"/>
      <c r="AL57" s="28"/>
      <c r="AM57" s="29"/>
      <c r="AN57" s="29"/>
      <c r="AO57" s="29"/>
      <c r="AP57" s="28"/>
      <c r="AQ57" s="29"/>
      <c r="AR57" s="29"/>
      <c r="AS57" s="29"/>
      <c r="AT57" s="28"/>
      <c r="AU57" s="29"/>
      <c r="AV57" s="29"/>
      <c r="AW57" s="29"/>
      <c r="AX57" s="28"/>
      <c r="AY57" s="29"/>
      <c r="AZ57" s="29"/>
      <c r="BA57" s="29"/>
      <c r="BB57" s="28"/>
      <c r="BC57" s="29"/>
      <c r="BD57" s="29"/>
      <c r="BE57" s="29"/>
      <c r="BF57" s="28"/>
      <c r="BG57" s="29"/>
      <c r="BH57" s="29"/>
      <c r="BI57" s="29"/>
      <c r="BJ57" s="28"/>
    </row>
    <row r="58" spans="1:62" ht="12.75" customHeight="1" x14ac:dyDescent="0.25">
      <c r="D58" s="25"/>
      <c r="E58" s="25"/>
      <c r="F58" s="26"/>
      <c r="G58" s="26"/>
      <c r="H58" s="26"/>
      <c r="I58" s="26"/>
      <c r="J58" s="26"/>
      <c r="K58" s="27"/>
      <c r="L58" s="27"/>
      <c r="M58" s="27"/>
      <c r="N58" s="27"/>
      <c r="O58" s="27"/>
      <c r="P58" s="28"/>
      <c r="Q58" s="29"/>
      <c r="R58" s="29"/>
      <c r="S58" s="29"/>
      <c r="T58" s="26"/>
      <c r="U58" s="26"/>
      <c r="V58" s="26"/>
      <c r="W58" s="26"/>
      <c r="X58" s="26"/>
      <c r="Y58" s="27"/>
      <c r="Z58" s="27"/>
      <c r="AA58" s="27"/>
      <c r="AB58" s="27"/>
      <c r="AC58" s="27"/>
      <c r="AD58" s="28"/>
      <c r="AE58" s="29"/>
      <c r="AF58" s="29"/>
      <c r="AG58" s="29"/>
      <c r="AH58" s="28"/>
      <c r="AI58" s="29"/>
      <c r="AJ58" s="29"/>
      <c r="AK58" s="29"/>
      <c r="AL58" s="28"/>
      <c r="AM58" s="29"/>
      <c r="AN58" s="29"/>
      <c r="AO58" s="29"/>
      <c r="AP58" s="28"/>
      <c r="AQ58" s="29"/>
      <c r="AR58" s="29"/>
      <c r="AS58" s="29"/>
      <c r="AT58" s="28"/>
      <c r="AU58" s="29"/>
      <c r="AV58" s="29"/>
      <c r="AW58" s="29"/>
      <c r="AX58" s="28"/>
      <c r="AY58" s="29"/>
      <c r="AZ58" s="29"/>
      <c r="BA58" s="29"/>
      <c r="BB58" s="28"/>
      <c r="BC58" s="29"/>
      <c r="BD58" s="29"/>
      <c r="BE58" s="29"/>
      <c r="BF58" s="28"/>
      <c r="BG58" s="29"/>
      <c r="BH58" s="29"/>
      <c r="BI58" s="29"/>
      <c r="BJ58" s="28"/>
    </row>
    <row r="59" spans="1:62" s="5" customFormat="1" ht="12.75" customHeight="1" x14ac:dyDescent="0.2">
      <c r="A59" s="89">
        <v>950120</v>
      </c>
      <c r="B59" s="90" t="s">
        <v>65</v>
      </c>
      <c r="C59" s="89" t="s">
        <v>56</v>
      </c>
      <c r="D59" s="5" t="s">
        <v>66</v>
      </c>
      <c r="F59" s="26">
        <f>614.146+0.1</f>
        <v>614.24599999999998</v>
      </c>
      <c r="G59" s="52">
        <v>58.85</v>
      </c>
      <c r="H59" s="52">
        <f>-151.75043-6.591-131.085+98.356-85.562-171.61557-26.376</f>
        <v>-474.62399999999997</v>
      </c>
      <c r="I59" s="52">
        <f>-403.5+47-47+277.683</f>
        <v>-125.81700000000001</v>
      </c>
      <c r="J59" s="26">
        <f>SUM(F59:I59)</f>
        <v>72.65500000000003</v>
      </c>
      <c r="K59" s="27">
        <f>614.146+0.1</f>
        <v>614.24599999999998</v>
      </c>
      <c r="L59" s="41">
        <v>58.5</v>
      </c>
      <c r="M59" s="41">
        <v>-514</v>
      </c>
      <c r="N59" s="41">
        <f>47-594-9.6+94.7+450.4+73.8+140.3+12.5+88.3-403.7+0.1-47</f>
        <v>-147.20000000000002</v>
      </c>
      <c r="O59" s="41">
        <f>SUM(K59:N59)</f>
        <v>11.545999999999964</v>
      </c>
      <c r="P59" s="28">
        <f>614.146+0.1</f>
        <v>614.24599999999998</v>
      </c>
      <c r="Q59" s="39"/>
      <c r="R59" s="39">
        <f>-606.8+33.9-9.4</f>
        <v>-582.29999999999995</v>
      </c>
      <c r="S59" s="39">
        <f>47-594-9.6+94.7+450.4+73.8+140.3+12.5+88.3-403.7+0.1+92.8+0.2-34.1+9.4</f>
        <v>-31.90000000000002</v>
      </c>
      <c r="T59" s="26">
        <f>72.696-0.145</f>
        <v>72.551000000000002</v>
      </c>
      <c r="U59" s="52">
        <f>115.562+27</f>
        <v>142.56200000000001</v>
      </c>
      <c r="V59" s="52">
        <f>-720.755</f>
        <v>-720.755</v>
      </c>
      <c r="W59" s="52">
        <f>505.5+0.141</f>
        <v>505.64100000000002</v>
      </c>
      <c r="X59" s="26">
        <f>SUM(T59:W59)</f>
        <v>-9.9999999997635314E-4</v>
      </c>
      <c r="Y59" s="27">
        <v>72.696000000000026</v>
      </c>
      <c r="Z59" s="41">
        <f>115.562+27</f>
        <v>142.56200000000001</v>
      </c>
      <c r="AA59" s="41"/>
      <c r="AB59" s="41"/>
      <c r="AC59" s="41">
        <f>SUM(Y59:AB59)</f>
        <v>215.25800000000004</v>
      </c>
      <c r="AD59" s="28">
        <f>J59+0.041-0.145</f>
        <v>72.55100000000003</v>
      </c>
      <c r="AE59" s="39">
        <f>U59</f>
        <v>142.56200000000001</v>
      </c>
      <c r="AF59" s="39">
        <f>V59</f>
        <v>-720.755</v>
      </c>
      <c r="AG59" s="39">
        <f>W59</f>
        <v>505.64100000000002</v>
      </c>
      <c r="AH59" s="28">
        <f>SUM(AD59:AG59)</f>
        <v>-9.9999999991950972E-4</v>
      </c>
      <c r="AI59" s="39">
        <f>266.689</f>
        <v>266.68900000000002</v>
      </c>
      <c r="AJ59" s="39">
        <f>-1802.8-125-350-34.366-113.089-29.871</f>
        <v>-2455.1260000000002</v>
      </c>
      <c r="AK59" s="39">
        <f>1536.1+350+34.366+113.089+125+29.886</f>
        <v>2188.4409999999998</v>
      </c>
      <c r="AL59" s="28">
        <f>SUM(AH59:AK59)</f>
        <v>2.9999999997016857E-3</v>
      </c>
      <c r="AM59" s="39">
        <f>266.689-266.689</f>
        <v>0</v>
      </c>
      <c r="AN59" s="39">
        <f>-833.928-125-61.13+(-45.63-79.737-1504.069)-1.043</f>
        <v>-2650.5369999999998</v>
      </c>
      <c r="AO59" s="29">
        <f>925.574+125+1554.4+44.52+1</f>
        <v>2650.4940000000001</v>
      </c>
      <c r="AP59" s="28">
        <f>SUM(AL59:AO59)</f>
        <v>-3.999999999996362E-2</v>
      </c>
      <c r="AQ59" s="39"/>
      <c r="AR59" s="39">
        <f>-71.4-30.565-15.058-670.54-0.021</f>
        <v>-787.58399999999995</v>
      </c>
      <c r="AS59" s="39">
        <f>71.479+670.5+30.5+15.105</f>
        <v>787.58400000000006</v>
      </c>
      <c r="AT59" s="28">
        <f>SUM(AP59:AS59)</f>
        <v>-3.9999999999849933E-2</v>
      </c>
      <c r="AU59" s="39"/>
      <c r="AV59" s="39">
        <f>-60.021</f>
        <v>-60.021000000000001</v>
      </c>
      <c r="AW59" s="39">
        <v>60.021000000000001</v>
      </c>
      <c r="AX59" s="28">
        <f>SUM(AT59:AW59)</f>
        <v>-3.9999999999849933E-2</v>
      </c>
      <c r="AY59" s="39"/>
      <c r="AZ59" s="39">
        <f>-60.021</f>
        <v>-60.021000000000001</v>
      </c>
      <c r="BA59" s="39">
        <v>60.021000000000001</v>
      </c>
      <c r="BB59" s="28">
        <f>SUM(AX59:BA59)</f>
        <v>-3.9999999999849933E-2</v>
      </c>
      <c r="BC59" s="39"/>
      <c r="BD59" s="39">
        <f>-60.021</f>
        <v>-60.021000000000001</v>
      </c>
      <c r="BE59" s="39">
        <v>60.021000000000001</v>
      </c>
      <c r="BF59" s="28">
        <f>SUM(BB59:BE59)</f>
        <v>-3.9999999999849933E-2</v>
      </c>
      <c r="BG59" s="39"/>
      <c r="BH59" s="39">
        <f>-60.021</f>
        <v>-60.021000000000001</v>
      </c>
      <c r="BI59" s="39">
        <v>60.021000000000001</v>
      </c>
      <c r="BJ59" s="28">
        <f>SUM(BF59:BI59)</f>
        <v>-3.9999999999849933E-2</v>
      </c>
    </row>
    <row r="60" spans="1:62" ht="12.75" hidden="1" customHeight="1" x14ac:dyDescent="0.2">
      <c r="F60" s="26"/>
      <c r="G60" s="40"/>
      <c r="H60" s="49"/>
      <c r="I60" s="40"/>
      <c r="J60" s="26"/>
      <c r="K60" s="27"/>
      <c r="L60" s="41"/>
      <c r="M60" s="50"/>
      <c r="N60" s="41"/>
      <c r="O60" s="41"/>
      <c r="P60" s="28"/>
      <c r="Q60" s="39"/>
      <c r="R60" s="39"/>
      <c r="S60" s="39"/>
      <c r="T60" s="26"/>
      <c r="U60" s="40"/>
      <c r="V60" s="49"/>
      <c r="W60" s="40"/>
      <c r="X60" s="26"/>
      <c r="Y60" s="27"/>
      <c r="Z60" s="41"/>
      <c r="AA60" s="50"/>
      <c r="AB60" s="41"/>
      <c r="AC60" s="41"/>
      <c r="AD60" s="28"/>
      <c r="AE60" s="39"/>
      <c r="AF60" s="39"/>
      <c r="AG60" s="39"/>
      <c r="AH60" s="28"/>
      <c r="AI60" s="39"/>
      <c r="AJ60" s="39"/>
      <c r="AK60" s="39"/>
      <c r="AL60" s="28"/>
      <c r="AM60" s="39"/>
      <c r="AN60" s="39"/>
      <c r="AO60" s="39"/>
      <c r="AP60" s="28"/>
      <c r="AQ60" s="39"/>
      <c r="AR60" s="39"/>
      <c r="AS60" s="39"/>
      <c r="AT60" s="28"/>
      <c r="AU60" s="39"/>
      <c r="AV60" s="39"/>
      <c r="AW60" s="39"/>
      <c r="AX60" s="28"/>
      <c r="AY60" s="39"/>
      <c r="AZ60" s="39"/>
      <c r="BA60" s="39"/>
      <c r="BB60" s="28"/>
      <c r="BC60" s="39"/>
      <c r="BD60" s="39"/>
      <c r="BE60" s="39"/>
      <c r="BF60" s="28"/>
      <c r="BG60" s="39"/>
      <c r="BH60" s="39"/>
      <c r="BI60" s="39"/>
      <c r="BJ60" s="28"/>
    </row>
    <row r="61" spans="1:62" ht="12.75" hidden="1" customHeight="1" x14ac:dyDescent="0.2">
      <c r="D61" s="3" t="s">
        <v>67</v>
      </c>
      <c r="F61" s="26">
        <v>0</v>
      </c>
      <c r="G61" s="40">
        <v>0</v>
      </c>
      <c r="H61" s="49"/>
      <c r="I61" s="40"/>
      <c r="J61" s="26">
        <f>SUM(F61:I61)</f>
        <v>0</v>
      </c>
      <c r="K61" s="27">
        <v>0</v>
      </c>
      <c r="L61" s="41">
        <v>0</v>
      </c>
      <c r="M61" s="50">
        <v>0</v>
      </c>
      <c r="N61" s="41"/>
      <c r="O61" s="41">
        <f>SUM(K61:N61)</f>
        <v>0</v>
      </c>
      <c r="P61" s="28">
        <v>0</v>
      </c>
      <c r="Q61" s="39">
        <f>6-6</f>
        <v>0</v>
      </c>
      <c r="R61" s="39">
        <f>-6+6</f>
        <v>0</v>
      </c>
      <c r="S61" s="39"/>
      <c r="T61" s="26">
        <v>0</v>
      </c>
      <c r="U61" s="40">
        <v>0</v>
      </c>
      <c r="V61" s="49"/>
      <c r="W61" s="40"/>
      <c r="X61" s="26">
        <f>SUM(T61:W61)</f>
        <v>0</v>
      </c>
      <c r="Y61" s="27">
        <v>0</v>
      </c>
      <c r="Z61" s="41">
        <v>0</v>
      </c>
      <c r="AA61" s="50">
        <v>0</v>
      </c>
      <c r="AB61" s="41"/>
      <c r="AC61" s="41">
        <f>SUM(Y61:AB61)</f>
        <v>0</v>
      </c>
      <c r="AD61" s="28">
        <f>SUM(P61:S61)</f>
        <v>0</v>
      </c>
      <c r="AE61" s="39">
        <f>6-6</f>
        <v>0</v>
      </c>
      <c r="AF61" s="39">
        <f>-6+6</f>
        <v>0</v>
      </c>
      <c r="AG61" s="39"/>
      <c r="AH61" s="28">
        <f>SUM(AD61:AG61)</f>
        <v>0</v>
      </c>
      <c r="AI61" s="39">
        <f>6-6</f>
        <v>0</v>
      </c>
      <c r="AJ61" s="39">
        <f>-6+6</f>
        <v>0</v>
      </c>
      <c r="AK61" s="39"/>
      <c r="AL61" s="28">
        <f>SUM(AH61:AK61)</f>
        <v>0</v>
      </c>
      <c r="AM61" s="39">
        <f>6-6</f>
        <v>0</v>
      </c>
      <c r="AN61" s="39">
        <f>-6+6</f>
        <v>0</v>
      </c>
      <c r="AO61" s="39"/>
      <c r="AP61" s="28">
        <f>SUM(AL61:AO61)</f>
        <v>0</v>
      </c>
      <c r="AQ61" s="39">
        <f>6-6</f>
        <v>0</v>
      </c>
      <c r="AR61" s="39">
        <f>-6+6</f>
        <v>0</v>
      </c>
      <c r="AS61" s="39"/>
      <c r="AT61" s="28">
        <f>SUM(AP61:AS61)</f>
        <v>0</v>
      </c>
      <c r="AU61" s="39">
        <f>6-6</f>
        <v>0</v>
      </c>
      <c r="AV61" s="39">
        <f>-6+6</f>
        <v>0</v>
      </c>
      <c r="AW61" s="39"/>
      <c r="AX61" s="28">
        <f>SUM(AT61:AW61)</f>
        <v>0</v>
      </c>
      <c r="AY61" s="39">
        <f>6-6</f>
        <v>0</v>
      </c>
      <c r="AZ61" s="39">
        <f>-6+6</f>
        <v>0</v>
      </c>
      <c r="BA61" s="39"/>
      <c r="BB61" s="28">
        <f>SUM(AX61:BA61)</f>
        <v>0</v>
      </c>
      <c r="BC61" s="39">
        <f>6-6</f>
        <v>0</v>
      </c>
      <c r="BD61" s="39">
        <f>-6+6</f>
        <v>0</v>
      </c>
      <c r="BE61" s="39"/>
      <c r="BF61" s="28">
        <f>SUM(BB61:BE61)</f>
        <v>0</v>
      </c>
      <c r="BG61" s="39">
        <f>6-6</f>
        <v>0</v>
      </c>
      <c r="BH61" s="39">
        <f>-6+6</f>
        <v>0</v>
      </c>
      <c r="BI61" s="39"/>
      <c r="BJ61" s="28">
        <f>SUM(BF61:BI61)</f>
        <v>0</v>
      </c>
    </row>
    <row r="62" spans="1:62" ht="12.75" hidden="1" customHeight="1" x14ac:dyDescent="0.2">
      <c r="F62" s="26"/>
      <c r="G62" s="40"/>
      <c r="H62" s="49"/>
      <c r="I62" s="40"/>
      <c r="J62" s="26"/>
      <c r="K62" s="27"/>
      <c r="L62" s="41"/>
      <c r="M62" s="50"/>
      <c r="N62" s="41"/>
      <c r="O62" s="41"/>
      <c r="P62" s="28"/>
      <c r="Q62" s="39"/>
      <c r="R62" s="39"/>
      <c r="S62" s="39"/>
      <c r="T62" s="26"/>
      <c r="U62" s="40"/>
      <c r="V62" s="49"/>
      <c r="W62" s="40"/>
      <c r="X62" s="26"/>
      <c r="Y62" s="27"/>
      <c r="Z62" s="41"/>
      <c r="AA62" s="50"/>
      <c r="AB62" s="41"/>
      <c r="AC62" s="41"/>
      <c r="AD62" s="28"/>
      <c r="AE62" s="39"/>
      <c r="AF62" s="39"/>
      <c r="AG62" s="39"/>
      <c r="AH62" s="28"/>
      <c r="AI62" s="39"/>
      <c r="AJ62" s="39"/>
      <c r="AK62" s="39"/>
      <c r="AL62" s="28"/>
      <c r="AM62" s="39"/>
      <c r="AN62" s="39"/>
      <c r="AO62" s="39"/>
      <c r="AP62" s="28"/>
      <c r="AQ62" s="39"/>
      <c r="AR62" s="39"/>
      <c r="AS62" s="39"/>
      <c r="AT62" s="28"/>
      <c r="AU62" s="39"/>
      <c r="AV62" s="39"/>
      <c r="AW62" s="39"/>
      <c r="AX62" s="28"/>
      <c r="AY62" s="39"/>
      <c r="AZ62" s="39"/>
      <c r="BA62" s="39"/>
      <c r="BB62" s="28"/>
      <c r="BC62" s="39"/>
      <c r="BD62" s="39"/>
      <c r="BE62" s="39"/>
      <c r="BF62" s="28"/>
      <c r="BG62" s="39"/>
      <c r="BH62" s="39"/>
      <c r="BI62" s="39"/>
      <c r="BJ62" s="28"/>
    </row>
    <row r="63" spans="1:62" ht="12.75" hidden="1" customHeight="1" x14ac:dyDescent="0.2">
      <c r="B63" s="2">
        <v>47780</v>
      </c>
      <c r="C63" s="1" t="s">
        <v>56</v>
      </c>
      <c r="D63" s="3" t="s">
        <v>68</v>
      </c>
      <c r="F63" s="26">
        <v>0</v>
      </c>
      <c r="G63" s="40"/>
      <c r="H63" s="49"/>
      <c r="I63" s="40"/>
      <c r="J63" s="26">
        <f>SUM(F63:I63)</f>
        <v>0</v>
      </c>
      <c r="K63" s="27">
        <v>0</v>
      </c>
      <c r="L63" s="41"/>
      <c r="M63" s="50"/>
      <c r="N63" s="41"/>
      <c r="O63" s="41">
        <f>SUM(K63:N63)</f>
        <v>0</v>
      </c>
      <c r="P63" s="28">
        <v>0</v>
      </c>
      <c r="Q63" s="39"/>
      <c r="R63" s="39"/>
      <c r="S63" s="39"/>
      <c r="T63" s="26">
        <v>0</v>
      </c>
      <c r="U63" s="40"/>
      <c r="V63" s="49"/>
      <c r="W63" s="40"/>
      <c r="X63" s="26">
        <f>SUM(T63:W63)</f>
        <v>0</v>
      </c>
      <c r="Y63" s="27">
        <v>0</v>
      </c>
      <c r="Z63" s="41"/>
      <c r="AA63" s="50"/>
      <c r="AB63" s="41"/>
      <c r="AC63" s="41">
        <f>SUM(Y63:AB63)</f>
        <v>0</v>
      </c>
      <c r="AD63" s="28">
        <f>SUM(P63:S63)</f>
        <v>0</v>
      </c>
      <c r="AE63" s="39"/>
      <c r="AF63" s="39"/>
      <c r="AG63" s="39"/>
      <c r="AH63" s="28">
        <f>SUM(AD63:AG63)</f>
        <v>0</v>
      </c>
      <c r="AI63" s="39"/>
      <c r="AJ63" s="39"/>
      <c r="AK63" s="39"/>
      <c r="AL63" s="28">
        <f>SUM(AH63:AK63)</f>
        <v>0</v>
      </c>
      <c r="AM63" s="39"/>
      <c r="AN63" s="39"/>
      <c r="AO63" s="39"/>
      <c r="AP63" s="28">
        <f>SUM(AL63:AO63)</f>
        <v>0</v>
      </c>
      <c r="AQ63" s="39"/>
      <c r="AR63" s="39"/>
      <c r="AS63" s="39"/>
      <c r="AT63" s="28">
        <f>SUM(AP63:AS63)</f>
        <v>0</v>
      </c>
      <c r="AU63" s="39"/>
      <c r="AV63" s="39"/>
      <c r="AW63" s="39"/>
      <c r="AX63" s="28">
        <f>SUM(AT63:AW63)</f>
        <v>0</v>
      </c>
      <c r="AY63" s="39"/>
      <c r="AZ63" s="39"/>
      <c r="BA63" s="39"/>
      <c r="BB63" s="28">
        <f>SUM(AX63:BA63)</f>
        <v>0</v>
      </c>
      <c r="BC63" s="39"/>
      <c r="BD63" s="39"/>
      <c r="BE63" s="39"/>
      <c r="BF63" s="28">
        <f>SUM(BB63:BE63)</f>
        <v>0</v>
      </c>
      <c r="BG63" s="39"/>
      <c r="BH63" s="39"/>
      <c r="BI63" s="39"/>
      <c r="BJ63" s="28">
        <f>SUM(BF63:BI63)</f>
        <v>0</v>
      </c>
    </row>
    <row r="64" spans="1:62" ht="12.75" hidden="1" customHeight="1" x14ac:dyDescent="0.2">
      <c r="F64" s="26"/>
      <c r="G64" s="40"/>
      <c r="H64" s="49"/>
      <c r="I64" s="40"/>
      <c r="J64" s="26"/>
      <c r="K64" s="27"/>
      <c r="L64" s="41"/>
      <c r="M64" s="50"/>
      <c r="N64" s="41"/>
      <c r="O64" s="41"/>
      <c r="P64" s="28"/>
      <c r="Q64" s="39"/>
      <c r="R64" s="39"/>
      <c r="S64" s="39"/>
      <c r="T64" s="26"/>
      <c r="U64" s="40"/>
      <c r="V64" s="49"/>
      <c r="W64" s="40"/>
      <c r="X64" s="26"/>
      <c r="Y64" s="27"/>
      <c r="Z64" s="41"/>
      <c r="AA64" s="50"/>
      <c r="AB64" s="41"/>
      <c r="AC64" s="41"/>
      <c r="AD64" s="28"/>
      <c r="AE64" s="39"/>
      <c r="AF64" s="39"/>
      <c r="AG64" s="39"/>
      <c r="AH64" s="28"/>
      <c r="AI64" s="39"/>
      <c r="AJ64" s="39"/>
      <c r="AK64" s="39"/>
      <c r="AL64" s="28"/>
      <c r="AM64" s="39"/>
      <c r="AN64" s="39"/>
      <c r="AO64" s="39"/>
      <c r="AP64" s="28"/>
      <c r="AQ64" s="39"/>
      <c r="AR64" s="39"/>
      <c r="AS64" s="39"/>
      <c r="AT64" s="28"/>
      <c r="AU64" s="39"/>
      <c r="AV64" s="39"/>
      <c r="AW64" s="39"/>
      <c r="AX64" s="28"/>
      <c r="AY64" s="39"/>
      <c r="AZ64" s="39"/>
      <c r="BA64" s="39"/>
      <c r="BB64" s="28"/>
      <c r="BC64" s="39"/>
      <c r="BD64" s="39"/>
      <c r="BE64" s="39"/>
      <c r="BF64" s="28"/>
      <c r="BG64" s="39"/>
      <c r="BH64" s="39"/>
      <c r="BI64" s="39"/>
      <c r="BJ64" s="28"/>
    </row>
    <row r="65" spans="1:62" ht="12.75" hidden="1" customHeight="1" x14ac:dyDescent="0.2">
      <c r="B65" s="2" t="s">
        <v>69</v>
      </c>
      <c r="C65" s="1" t="s">
        <v>70</v>
      </c>
      <c r="D65" s="3" t="s">
        <v>71</v>
      </c>
      <c r="F65" s="26">
        <v>0</v>
      </c>
      <c r="G65" s="40"/>
      <c r="H65" s="40"/>
      <c r="I65" s="40"/>
      <c r="J65" s="26">
        <f>SUM(F65:I65)</f>
        <v>0</v>
      </c>
      <c r="K65" s="27">
        <v>0</v>
      </c>
      <c r="L65" s="41"/>
      <c r="M65" s="41"/>
      <c r="N65" s="41"/>
      <c r="O65" s="41">
        <f>SUM(K65:N65)</f>
        <v>0</v>
      </c>
      <c r="P65" s="28">
        <v>0</v>
      </c>
      <c r="Q65" s="39"/>
      <c r="R65" s="39"/>
      <c r="S65" s="39"/>
      <c r="T65" s="26">
        <v>0</v>
      </c>
      <c r="U65" s="40"/>
      <c r="V65" s="40"/>
      <c r="W65" s="40"/>
      <c r="X65" s="26">
        <f>SUM(T65:W65)</f>
        <v>0</v>
      </c>
      <c r="Y65" s="27">
        <v>0</v>
      </c>
      <c r="Z65" s="41"/>
      <c r="AA65" s="41"/>
      <c r="AB65" s="41"/>
      <c r="AC65" s="41">
        <f>SUM(Y65:AB65)</f>
        <v>0</v>
      </c>
      <c r="AD65" s="28">
        <f>SUM(P65:S65)</f>
        <v>0</v>
      </c>
      <c r="AE65" s="39"/>
      <c r="AF65" s="39"/>
      <c r="AG65" s="39"/>
      <c r="AH65" s="28">
        <f>SUM(AD65:AG65)</f>
        <v>0</v>
      </c>
      <c r="AI65" s="39"/>
      <c r="AJ65" s="39"/>
      <c r="AK65" s="39"/>
      <c r="AL65" s="28">
        <f>SUM(AH65:AK65)</f>
        <v>0</v>
      </c>
      <c r="AM65" s="39"/>
      <c r="AN65" s="39"/>
      <c r="AO65" s="39"/>
      <c r="AP65" s="28">
        <f>SUM(AL65:AO65)</f>
        <v>0</v>
      </c>
      <c r="AQ65" s="39"/>
      <c r="AR65" s="39"/>
      <c r="AS65" s="39"/>
      <c r="AT65" s="28">
        <f>SUM(AP65:AS65)</f>
        <v>0</v>
      </c>
      <c r="AU65" s="39"/>
      <c r="AV65" s="39"/>
      <c r="AW65" s="39"/>
      <c r="AX65" s="28">
        <f>SUM(AT65:AW65)</f>
        <v>0</v>
      </c>
      <c r="AY65" s="39"/>
      <c r="AZ65" s="39"/>
      <c r="BA65" s="39"/>
      <c r="BB65" s="28">
        <f>SUM(AX65:BA65)</f>
        <v>0</v>
      </c>
      <c r="BC65" s="39"/>
      <c r="BD65" s="39"/>
      <c r="BE65" s="39"/>
      <c r="BF65" s="28">
        <f>SUM(BB65:BE65)</f>
        <v>0</v>
      </c>
      <c r="BG65" s="39"/>
      <c r="BH65" s="39"/>
      <c r="BI65" s="39"/>
      <c r="BJ65" s="28">
        <f>SUM(BF65:BI65)</f>
        <v>0</v>
      </c>
    </row>
    <row r="66" spans="1:62" ht="12.75" hidden="1" customHeight="1" x14ac:dyDescent="0.2">
      <c r="F66" s="26"/>
      <c r="G66" s="40"/>
      <c r="H66" s="40"/>
      <c r="I66" s="40"/>
      <c r="J66" s="26"/>
      <c r="K66" s="27"/>
      <c r="L66" s="41"/>
      <c r="M66" s="41"/>
      <c r="N66" s="41"/>
      <c r="O66" s="41"/>
      <c r="P66" s="28"/>
      <c r="Q66" s="39"/>
      <c r="R66" s="39"/>
      <c r="S66" s="39"/>
      <c r="T66" s="26"/>
      <c r="U66" s="40"/>
      <c r="V66" s="40"/>
      <c r="W66" s="40"/>
      <c r="X66" s="26"/>
      <c r="Y66" s="27"/>
      <c r="Z66" s="41"/>
      <c r="AA66" s="41"/>
      <c r="AB66" s="41"/>
      <c r="AC66" s="41"/>
      <c r="AD66" s="28"/>
      <c r="AE66" s="39"/>
      <c r="AF66" s="39"/>
      <c r="AG66" s="39"/>
      <c r="AH66" s="28"/>
      <c r="AI66" s="39"/>
      <c r="AJ66" s="39"/>
      <c r="AK66" s="39"/>
      <c r="AL66" s="28"/>
      <c r="AM66" s="39"/>
      <c r="AN66" s="39"/>
      <c r="AO66" s="39"/>
      <c r="AP66" s="28"/>
      <c r="AQ66" s="39"/>
      <c r="AR66" s="39"/>
      <c r="AS66" s="39"/>
      <c r="AT66" s="28"/>
      <c r="AU66" s="39"/>
      <c r="AV66" s="39"/>
      <c r="AW66" s="39"/>
      <c r="AX66" s="28"/>
      <c r="AY66" s="39"/>
      <c r="AZ66" s="39"/>
      <c r="BA66" s="39"/>
      <c r="BB66" s="28"/>
      <c r="BC66" s="39"/>
      <c r="BD66" s="39"/>
      <c r="BE66" s="39"/>
      <c r="BF66" s="28"/>
      <c r="BG66" s="39"/>
      <c r="BH66" s="39"/>
      <c r="BI66" s="39"/>
      <c r="BJ66" s="28"/>
    </row>
    <row r="67" spans="1:62" ht="12.75" hidden="1" customHeight="1" x14ac:dyDescent="0.2">
      <c r="D67" s="3" t="s">
        <v>72</v>
      </c>
      <c r="F67" s="26">
        <v>0</v>
      </c>
      <c r="G67" s="40"/>
      <c r="H67" s="40"/>
      <c r="I67" s="40"/>
      <c r="J67" s="26">
        <f>SUM(F67:I67)</f>
        <v>0</v>
      </c>
      <c r="K67" s="27">
        <v>0</v>
      </c>
      <c r="L67" s="41"/>
      <c r="M67" s="41"/>
      <c r="N67" s="41"/>
      <c r="O67" s="41">
        <f>SUM(K67:N67)</f>
        <v>0</v>
      </c>
      <c r="P67" s="28">
        <f>SUM(K67:N67)</f>
        <v>0</v>
      </c>
      <c r="Q67" s="39"/>
      <c r="R67" s="39"/>
      <c r="S67" s="39"/>
      <c r="T67" s="26">
        <v>0</v>
      </c>
      <c r="U67" s="40"/>
      <c r="V67" s="40"/>
      <c r="W67" s="40"/>
      <c r="X67" s="26">
        <f>SUM(T67:W67)</f>
        <v>0</v>
      </c>
      <c r="Y67" s="27">
        <v>0</v>
      </c>
      <c r="Z67" s="41"/>
      <c r="AA67" s="41"/>
      <c r="AB67" s="41"/>
      <c r="AC67" s="41">
        <f>SUM(Y67:AB67)</f>
        <v>0</v>
      </c>
      <c r="AD67" s="28">
        <f>SUM(P67:S67)</f>
        <v>0</v>
      </c>
      <c r="AE67" s="39"/>
      <c r="AF67" s="39"/>
      <c r="AG67" s="39"/>
      <c r="AH67" s="28">
        <f>SUM(AD67:AG67)</f>
        <v>0</v>
      </c>
      <c r="AI67" s="39"/>
      <c r="AJ67" s="39"/>
      <c r="AK67" s="39"/>
      <c r="AL67" s="28">
        <f>SUM(AH67:AK67)</f>
        <v>0</v>
      </c>
      <c r="AM67" s="39"/>
      <c r="AN67" s="39"/>
      <c r="AO67" s="39"/>
      <c r="AP67" s="28">
        <f>SUM(AL67:AO67)</f>
        <v>0</v>
      </c>
      <c r="AQ67" s="39"/>
      <c r="AR67" s="39"/>
      <c r="AS67" s="39"/>
      <c r="AT67" s="28">
        <f>SUM(AP67:AS67)</f>
        <v>0</v>
      </c>
      <c r="AU67" s="39"/>
      <c r="AV67" s="39"/>
      <c r="AW67" s="39"/>
      <c r="AX67" s="28">
        <f>SUM(AT67:AW67)</f>
        <v>0</v>
      </c>
      <c r="AY67" s="39"/>
      <c r="AZ67" s="39"/>
      <c r="BA67" s="39"/>
      <c r="BB67" s="28">
        <f>SUM(AX67:BA67)</f>
        <v>0</v>
      </c>
      <c r="BC67" s="39"/>
      <c r="BD67" s="39"/>
      <c r="BE67" s="39"/>
      <c r="BF67" s="28">
        <f>SUM(BB67:BE67)</f>
        <v>0</v>
      </c>
      <c r="BG67" s="39"/>
      <c r="BH67" s="39"/>
      <c r="BI67" s="39"/>
      <c r="BJ67" s="28">
        <f>SUM(BF67:BI67)</f>
        <v>0</v>
      </c>
    </row>
    <row r="68" spans="1:62" ht="12.75" hidden="1" customHeight="1" x14ac:dyDescent="0.2">
      <c r="F68" s="26"/>
      <c r="G68" s="40"/>
      <c r="H68" s="40"/>
      <c r="I68" s="40"/>
      <c r="J68" s="26"/>
      <c r="K68" s="27"/>
      <c r="L68" s="41"/>
      <c r="M68" s="41"/>
      <c r="N68" s="41"/>
      <c r="O68" s="41"/>
      <c r="P68" s="28"/>
      <c r="Q68" s="39"/>
      <c r="R68" s="39"/>
      <c r="S68" s="39"/>
      <c r="T68" s="26"/>
      <c r="U68" s="40"/>
      <c r="V68" s="40"/>
      <c r="W68" s="40"/>
      <c r="X68" s="26"/>
      <c r="Y68" s="27"/>
      <c r="Z68" s="41"/>
      <c r="AA68" s="41"/>
      <c r="AB68" s="41"/>
      <c r="AC68" s="41"/>
      <c r="AD68" s="28"/>
      <c r="AE68" s="39"/>
      <c r="AF68" s="39"/>
      <c r="AG68" s="39"/>
      <c r="AH68" s="28"/>
      <c r="AI68" s="39"/>
      <c r="AJ68" s="39"/>
      <c r="AK68" s="39"/>
      <c r="AL68" s="28"/>
      <c r="AM68" s="39"/>
      <c r="AN68" s="39"/>
      <c r="AO68" s="39"/>
      <c r="AP68" s="28"/>
      <c r="AQ68" s="39"/>
      <c r="AR68" s="39"/>
      <c r="AS68" s="39"/>
      <c r="AT68" s="28"/>
      <c r="AU68" s="39"/>
      <c r="AV68" s="39"/>
      <c r="AW68" s="39"/>
      <c r="AX68" s="28"/>
      <c r="AY68" s="39"/>
      <c r="AZ68" s="39"/>
      <c r="BA68" s="39"/>
      <c r="BB68" s="28"/>
      <c r="BC68" s="39"/>
      <c r="BD68" s="39"/>
      <c r="BE68" s="39"/>
      <c r="BF68" s="28"/>
      <c r="BG68" s="39"/>
      <c r="BH68" s="39"/>
      <c r="BI68" s="39"/>
      <c r="BJ68" s="28"/>
    </row>
    <row r="69" spans="1:62" ht="12.75" hidden="1" customHeight="1" x14ac:dyDescent="0.2">
      <c r="D69" s="3" t="s">
        <v>73</v>
      </c>
      <c r="F69" s="26">
        <v>0</v>
      </c>
      <c r="G69" s="40" t="s">
        <v>48</v>
      </c>
      <c r="H69" s="40" t="s">
        <v>48</v>
      </c>
      <c r="I69" s="40" t="s">
        <v>48</v>
      </c>
      <c r="J69" s="26">
        <f>SUM(F69:I69)</f>
        <v>0</v>
      </c>
      <c r="K69" s="27">
        <v>0</v>
      </c>
      <c r="L69" s="41" t="s">
        <v>48</v>
      </c>
      <c r="M69" s="41" t="s">
        <v>48</v>
      </c>
      <c r="N69" s="41" t="s">
        <v>48</v>
      </c>
      <c r="O69" s="41">
        <f>SUM(K69:N69)</f>
        <v>0</v>
      </c>
      <c r="P69" s="28">
        <f>SUM(K69:N69)</f>
        <v>0</v>
      </c>
      <c r="Q69" s="39" t="s">
        <v>48</v>
      </c>
      <c r="R69" s="39" t="s">
        <v>48</v>
      </c>
      <c r="S69" s="39" t="s">
        <v>48</v>
      </c>
      <c r="T69" s="26">
        <v>0</v>
      </c>
      <c r="U69" s="40" t="s">
        <v>48</v>
      </c>
      <c r="V69" s="40" t="s">
        <v>48</v>
      </c>
      <c r="W69" s="40" t="s">
        <v>48</v>
      </c>
      <c r="X69" s="26">
        <f>SUM(T69:W69)</f>
        <v>0</v>
      </c>
      <c r="Y69" s="27">
        <v>0</v>
      </c>
      <c r="Z69" s="41" t="s">
        <v>48</v>
      </c>
      <c r="AA69" s="41" t="s">
        <v>48</v>
      </c>
      <c r="AB69" s="41" t="s">
        <v>48</v>
      </c>
      <c r="AC69" s="41">
        <f>SUM(Y69:AB69)</f>
        <v>0</v>
      </c>
      <c r="AD69" s="28">
        <f>SUM(P69:S69)</f>
        <v>0</v>
      </c>
      <c r="AE69" s="39" t="s">
        <v>48</v>
      </c>
      <c r="AF69" s="39" t="s">
        <v>48</v>
      </c>
      <c r="AG69" s="39" t="s">
        <v>48</v>
      </c>
      <c r="AH69" s="28">
        <f>SUM(AD69:AG69)</f>
        <v>0</v>
      </c>
      <c r="AI69" s="39" t="s">
        <v>48</v>
      </c>
      <c r="AJ69" s="39" t="s">
        <v>48</v>
      </c>
      <c r="AK69" s="39" t="s">
        <v>48</v>
      </c>
      <c r="AL69" s="28">
        <f>SUM(AH69:AK69)</f>
        <v>0</v>
      </c>
      <c r="AM69" s="39" t="s">
        <v>48</v>
      </c>
      <c r="AN69" s="39" t="s">
        <v>48</v>
      </c>
      <c r="AO69" s="39" t="s">
        <v>48</v>
      </c>
      <c r="AP69" s="28">
        <f>SUM(AL69:AO69)</f>
        <v>0</v>
      </c>
      <c r="AQ69" s="39" t="s">
        <v>48</v>
      </c>
      <c r="AR69" s="39" t="s">
        <v>48</v>
      </c>
      <c r="AS69" s="39" t="s">
        <v>48</v>
      </c>
      <c r="AT69" s="28">
        <f>SUM(AP69:AS69)</f>
        <v>0</v>
      </c>
      <c r="AU69" s="39" t="s">
        <v>48</v>
      </c>
      <c r="AV69" s="39" t="s">
        <v>48</v>
      </c>
      <c r="AW69" s="39" t="s">
        <v>48</v>
      </c>
      <c r="AX69" s="28">
        <f>SUM(AT69:AW69)</f>
        <v>0</v>
      </c>
      <c r="AY69" s="39" t="s">
        <v>48</v>
      </c>
      <c r="AZ69" s="39" t="s">
        <v>48</v>
      </c>
      <c r="BA69" s="39" t="s">
        <v>48</v>
      </c>
      <c r="BB69" s="28">
        <f>SUM(AX69:BA69)</f>
        <v>0</v>
      </c>
      <c r="BC69" s="39" t="s">
        <v>48</v>
      </c>
      <c r="BD69" s="39" t="s">
        <v>48</v>
      </c>
      <c r="BE69" s="39" t="s">
        <v>48</v>
      </c>
      <c r="BF69" s="28">
        <f>SUM(BB69:BE69)</f>
        <v>0</v>
      </c>
      <c r="BG69" s="39" t="s">
        <v>48</v>
      </c>
      <c r="BH69" s="39" t="s">
        <v>48</v>
      </c>
      <c r="BI69" s="39" t="s">
        <v>48</v>
      </c>
      <c r="BJ69" s="28">
        <f>SUM(BF69:BI69)</f>
        <v>0</v>
      </c>
    </row>
    <row r="70" spans="1:62" ht="12.75" customHeight="1" thickBot="1" x14ac:dyDescent="0.25">
      <c r="F70" s="26"/>
      <c r="G70" s="26"/>
      <c r="H70" s="26"/>
      <c r="I70" s="26"/>
      <c r="J70" s="26"/>
      <c r="K70" s="27"/>
      <c r="L70" s="27"/>
      <c r="M70" s="27"/>
      <c r="N70" s="27"/>
      <c r="O70" s="27"/>
      <c r="P70" s="28"/>
      <c r="Q70" s="29"/>
      <c r="R70" s="29"/>
      <c r="S70" s="29"/>
      <c r="T70" s="26"/>
      <c r="U70" s="26"/>
      <c r="V70" s="26"/>
      <c r="W70" s="26"/>
      <c r="X70" s="26"/>
      <c r="Y70" s="27"/>
      <c r="Z70" s="27"/>
      <c r="AA70" s="27"/>
      <c r="AB70" s="27"/>
      <c r="AC70" s="27"/>
      <c r="AD70" s="28"/>
      <c r="AE70" s="29"/>
      <c r="AF70" s="29"/>
      <c r="AG70" s="29"/>
      <c r="AH70" s="28"/>
      <c r="AI70" s="29"/>
      <c r="AJ70" s="29"/>
      <c r="AK70" s="29"/>
      <c r="AL70" s="28"/>
      <c r="AM70" s="29"/>
      <c r="AN70" s="29"/>
      <c r="AO70" s="29"/>
      <c r="AP70" s="28"/>
      <c r="AQ70" s="29"/>
      <c r="AR70" s="29"/>
      <c r="AS70" s="29"/>
      <c r="AT70" s="28"/>
      <c r="AU70" s="29"/>
      <c r="AV70" s="29"/>
      <c r="AW70" s="29"/>
      <c r="AX70" s="28"/>
      <c r="AY70" s="29"/>
      <c r="AZ70" s="29"/>
      <c r="BA70" s="29"/>
      <c r="BB70" s="28"/>
      <c r="BC70" s="29"/>
      <c r="BD70" s="29"/>
      <c r="BE70" s="29"/>
      <c r="BF70" s="28"/>
      <c r="BG70" s="29"/>
      <c r="BH70" s="29"/>
      <c r="BI70" s="29"/>
      <c r="BJ70" s="28"/>
    </row>
    <row r="71" spans="1:62" ht="21" customHeight="1" thickBot="1" x14ac:dyDescent="0.3">
      <c r="D71" s="11" t="s">
        <v>74</v>
      </c>
      <c r="E71" s="11"/>
      <c r="F71" s="42">
        <f>SUM(F57:F70)</f>
        <v>614.24599999999998</v>
      </c>
      <c r="G71" s="42">
        <f>SUM(G57:G70)</f>
        <v>58.85</v>
      </c>
      <c r="H71" s="42">
        <f>SUM(H57:H70)</f>
        <v>-474.62399999999997</v>
      </c>
      <c r="I71" s="42">
        <f>SUM(I57:I70)</f>
        <v>-125.81700000000001</v>
      </c>
      <c r="J71" s="42">
        <f>SUM(J57:J70)</f>
        <v>72.65500000000003</v>
      </c>
      <c r="K71" s="43">
        <f t="shared" ref="K71:BJ71" si="5">SUM(K57:K70)</f>
        <v>614.24599999999998</v>
      </c>
      <c r="L71" s="43">
        <f t="shared" si="5"/>
        <v>58.5</v>
      </c>
      <c r="M71" s="43">
        <f t="shared" si="5"/>
        <v>-514</v>
      </c>
      <c r="N71" s="43">
        <f t="shared" si="5"/>
        <v>-147.20000000000002</v>
      </c>
      <c r="O71" s="43">
        <f t="shared" si="5"/>
        <v>11.545999999999964</v>
      </c>
      <c r="P71" s="44">
        <f t="shared" si="5"/>
        <v>614.24599999999998</v>
      </c>
      <c r="Q71" s="45">
        <f t="shared" si="5"/>
        <v>0</v>
      </c>
      <c r="R71" s="45">
        <f t="shared" si="5"/>
        <v>-582.29999999999995</v>
      </c>
      <c r="S71" s="45">
        <f t="shared" si="5"/>
        <v>-31.90000000000002</v>
      </c>
      <c r="T71" s="42">
        <f t="shared" si="5"/>
        <v>72.551000000000002</v>
      </c>
      <c r="U71" s="42">
        <f t="shared" si="5"/>
        <v>142.56200000000001</v>
      </c>
      <c r="V71" s="42">
        <f t="shared" si="5"/>
        <v>-720.755</v>
      </c>
      <c r="W71" s="42">
        <f t="shared" si="5"/>
        <v>505.64100000000002</v>
      </c>
      <c r="X71" s="42">
        <f t="shared" si="5"/>
        <v>-9.9999999997635314E-4</v>
      </c>
      <c r="Y71" s="43">
        <f t="shared" si="5"/>
        <v>72.696000000000026</v>
      </c>
      <c r="Z71" s="43">
        <f t="shared" si="5"/>
        <v>142.56200000000001</v>
      </c>
      <c r="AA71" s="43">
        <f t="shared" si="5"/>
        <v>0</v>
      </c>
      <c r="AB71" s="43">
        <f t="shared" si="5"/>
        <v>0</v>
      </c>
      <c r="AC71" s="43">
        <f t="shared" si="5"/>
        <v>215.25800000000004</v>
      </c>
      <c r="AD71" s="44">
        <f t="shared" si="5"/>
        <v>72.55100000000003</v>
      </c>
      <c r="AE71" s="45">
        <f t="shared" si="5"/>
        <v>142.56200000000001</v>
      </c>
      <c r="AF71" s="45">
        <f t="shared" si="5"/>
        <v>-720.755</v>
      </c>
      <c r="AG71" s="45">
        <f t="shared" si="5"/>
        <v>505.64100000000002</v>
      </c>
      <c r="AH71" s="44">
        <f t="shared" si="5"/>
        <v>-9.9999999991950972E-4</v>
      </c>
      <c r="AI71" s="45">
        <f t="shared" si="5"/>
        <v>266.68900000000002</v>
      </c>
      <c r="AJ71" s="45">
        <f t="shared" si="5"/>
        <v>-2455.1260000000002</v>
      </c>
      <c r="AK71" s="45">
        <f t="shared" si="5"/>
        <v>2188.4409999999998</v>
      </c>
      <c r="AL71" s="44">
        <f t="shared" si="5"/>
        <v>2.9999999997016857E-3</v>
      </c>
      <c r="AM71" s="45">
        <f t="shared" si="5"/>
        <v>0</v>
      </c>
      <c r="AN71" s="45">
        <f t="shared" si="5"/>
        <v>-2650.5369999999998</v>
      </c>
      <c r="AO71" s="45">
        <f t="shared" si="5"/>
        <v>2650.4940000000001</v>
      </c>
      <c r="AP71" s="44">
        <f t="shared" si="5"/>
        <v>-3.999999999996362E-2</v>
      </c>
      <c r="AQ71" s="45">
        <f t="shared" si="5"/>
        <v>0</v>
      </c>
      <c r="AR71" s="45">
        <f t="shared" si="5"/>
        <v>-787.58399999999995</v>
      </c>
      <c r="AS71" s="45">
        <f t="shared" si="5"/>
        <v>787.58400000000006</v>
      </c>
      <c r="AT71" s="44">
        <f t="shared" si="5"/>
        <v>-3.9999999999849933E-2</v>
      </c>
      <c r="AU71" s="45">
        <f t="shared" si="5"/>
        <v>0</v>
      </c>
      <c r="AV71" s="45">
        <f t="shared" si="5"/>
        <v>-60.021000000000001</v>
      </c>
      <c r="AW71" s="45">
        <f t="shared" si="5"/>
        <v>60.021000000000001</v>
      </c>
      <c r="AX71" s="44">
        <f t="shared" si="5"/>
        <v>-3.9999999999849933E-2</v>
      </c>
      <c r="AY71" s="45">
        <f t="shared" si="5"/>
        <v>0</v>
      </c>
      <c r="AZ71" s="45">
        <f t="shared" si="5"/>
        <v>-60.021000000000001</v>
      </c>
      <c r="BA71" s="45">
        <f t="shared" si="5"/>
        <v>60.021000000000001</v>
      </c>
      <c r="BB71" s="44">
        <f t="shared" si="5"/>
        <v>-3.9999999999849933E-2</v>
      </c>
      <c r="BC71" s="45">
        <f t="shared" si="5"/>
        <v>0</v>
      </c>
      <c r="BD71" s="45">
        <f t="shared" si="5"/>
        <v>-60.021000000000001</v>
      </c>
      <c r="BE71" s="45">
        <f t="shared" si="5"/>
        <v>60.021000000000001</v>
      </c>
      <c r="BF71" s="44">
        <f t="shared" si="5"/>
        <v>-3.9999999999849933E-2</v>
      </c>
      <c r="BG71" s="45">
        <f t="shared" si="5"/>
        <v>0</v>
      </c>
      <c r="BH71" s="45">
        <f t="shared" si="5"/>
        <v>-60.021000000000001</v>
      </c>
      <c r="BI71" s="45">
        <f t="shared" si="5"/>
        <v>60.021000000000001</v>
      </c>
      <c r="BJ71" s="44">
        <f t="shared" si="5"/>
        <v>-3.9999999999849933E-2</v>
      </c>
    </row>
    <row r="72" spans="1:62" ht="12.75" customHeight="1" thickTop="1" x14ac:dyDescent="0.2">
      <c r="F72" s="26"/>
      <c r="G72" s="26"/>
      <c r="H72" s="26"/>
      <c r="I72" s="26"/>
      <c r="J72" s="26"/>
      <c r="K72" s="27"/>
      <c r="L72" s="27"/>
      <c r="M72" s="27"/>
      <c r="N72" s="27"/>
      <c r="O72" s="27"/>
      <c r="P72" s="28"/>
      <c r="Q72" s="29"/>
      <c r="R72" s="29"/>
      <c r="S72" s="29"/>
      <c r="T72" s="26"/>
      <c r="U72" s="26"/>
      <c r="V72" s="26"/>
      <c r="W72" s="26"/>
      <c r="X72" s="26"/>
      <c r="Y72" s="27"/>
      <c r="Z72" s="27"/>
      <c r="AA72" s="27"/>
      <c r="AB72" s="27"/>
      <c r="AC72" s="27"/>
      <c r="AD72" s="28"/>
      <c r="AE72" s="29"/>
      <c r="AF72" s="29"/>
      <c r="AG72" s="29"/>
      <c r="AH72" s="28"/>
      <c r="AI72" s="29"/>
      <c r="AJ72" s="29"/>
      <c r="AK72" s="29"/>
      <c r="AL72" s="28"/>
      <c r="AM72" s="29"/>
      <c r="AN72" s="29"/>
      <c r="AO72" s="29"/>
      <c r="AP72" s="28"/>
      <c r="AQ72" s="29"/>
      <c r="AR72" s="29"/>
      <c r="AS72" s="29"/>
      <c r="AT72" s="28"/>
      <c r="AU72" s="29"/>
      <c r="AV72" s="29"/>
      <c r="AW72" s="29"/>
      <c r="AX72" s="28"/>
      <c r="AY72" s="29"/>
      <c r="AZ72" s="29"/>
      <c r="BA72" s="29"/>
      <c r="BB72" s="28"/>
      <c r="BC72" s="29"/>
      <c r="BD72" s="29"/>
      <c r="BE72" s="29"/>
      <c r="BF72" s="28"/>
      <c r="BG72" s="29"/>
      <c r="BH72" s="29"/>
      <c r="BI72" s="29"/>
      <c r="BJ72" s="28"/>
    </row>
    <row r="73" spans="1:62" ht="18" customHeight="1" x14ac:dyDescent="0.25">
      <c r="D73" s="25" t="s">
        <v>75</v>
      </c>
      <c r="E73" s="25"/>
      <c r="F73" s="26"/>
      <c r="G73" s="26"/>
      <c r="H73" s="26"/>
      <c r="I73" s="26"/>
      <c r="J73" s="26"/>
      <c r="K73" s="27"/>
      <c r="L73" s="27"/>
      <c r="M73" s="27"/>
      <c r="N73" s="27"/>
      <c r="O73" s="27"/>
      <c r="P73" s="28"/>
      <c r="Q73" s="29"/>
      <c r="R73" s="29"/>
      <c r="S73" s="29"/>
      <c r="T73" s="26"/>
      <c r="U73" s="26"/>
      <c r="V73" s="26"/>
      <c r="W73" s="26"/>
      <c r="X73" s="26"/>
      <c r="Y73" s="27"/>
      <c r="Z73" s="27"/>
      <c r="AA73" s="27"/>
      <c r="AB73" s="27"/>
      <c r="AC73" s="27"/>
      <c r="AD73" s="28"/>
      <c r="AE73" s="29"/>
      <c r="AF73" s="29"/>
      <c r="AG73" s="29"/>
      <c r="AH73" s="28"/>
      <c r="AI73" s="29"/>
      <c r="AJ73" s="29"/>
      <c r="AK73" s="29"/>
      <c r="AL73" s="28"/>
      <c r="AM73" s="29"/>
      <c r="AN73" s="29"/>
      <c r="AO73" s="29"/>
      <c r="AP73" s="28"/>
      <c r="AQ73" s="29"/>
      <c r="AR73" s="29"/>
      <c r="AS73" s="29"/>
      <c r="AT73" s="28"/>
      <c r="AU73" s="29"/>
      <c r="AV73" s="29"/>
      <c r="AW73" s="29"/>
      <c r="AX73" s="28"/>
      <c r="AY73" s="29"/>
      <c r="AZ73" s="29"/>
      <c r="BA73" s="29"/>
      <c r="BB73" s="28"/>
      <c r="BC73" s="29"/>
      <c r="BD73" s="29"/>
      <c r="BE73" s="29"/>
      <c r="BF73" s="28"/>
      <c r="BG73" s="29"/>
      <c r="BH73" s="29"/>
      <c r="BI73" s="29"/>
      <c r="BJ73" s="28"/>
    </row>
    <row r="74" spans="1:62" ht="12.75" customHeight="1" x14ac:dyDescent="0.25">
      <c r="D74" s="91"/>
      <c r="E74" s="91"/>
      <c r="F74" s="26"/>
      <c r="G74" s="26"/>
      <c r="H74" s="26"/>
      <c r="I74" s="26"/>
      <c r="J74" s="26"/>
      <c r="K74" s="27"/>
      <c r="L74" s="27"/>
      <c r="M74" s="27"/>
      <c r="N74" s="27"/>
      <c r="O74" s="27"/>
      <c r="P74" s="28"/>
      <c r="Q74" s="29"/>
      <c r="R74" s="29"/>
      <c r="S74" s="29"/>
      <c r="T74" s="26"/>
      <c r="U74" s="26"/>
      <c r="V74" s="26"/>
      <c r="W74" s="26"/>
      <c r="X74" s="26"/>
      <c r="Y74" s="27"/>
      <c r="Z74" s="27"/>
      <c r="AA74" s="27"/>
      <c r="AB74" s="27"/>
      <c r="AC74" s="27"/>
      <c r="AD74" s="28"/>
      <c r="AE74" s="29"/>
      <c r="AF74" s="29"/>
      <c r="AG74" s="29"/>
      <c r="AH74" s="28"/>
      <c r="AI74" s="29"/>
      <c r="AJ74" s="29"/>
      <c r="AK74" s="29"/>
      <c r="AL74" s="28"/>
      <c r="AM74" s="29"/>
      <c r="AN74" s="29"/>
      <c r="AO74" s="29"/>
      <c r="AP74" s="28"/>
      <c r="AQ74" s="29"/>
      <c r="AR74" s="29"/>
      <c r="AS74" s="29"/>
      <c r="AT74" s="28"/>
      <c r="AU74" s="29"/>
      <c r="AV74" s="29"/>
      <c r="AW74" s="29"/>
      <c r="AX74" s="28"/>
      <c r="AY74" s="29"/>
      <c r="AZ74" s="29"/>
      <c r="BA74" s="29"/>
      <c r="BB74" s="28"/>
      <c r="BC74" s="29"/>
      <c r="BD74" s="29"/>
      <c r="BE74" s="29"/>
      <c r="BF74" s="28"/>
      <c r="BG74" s="29"/>
      <c r="BH74" s="29"/>
      <c r="BI74" s="29"/>
      <c r="BJ74" s="28"/>
    </row>
    <row r="75" spans="1:62" ht="12.75" hidden="1" customHeight="1" x14ac:dyDescent="0.2">
      <c r="A75" s="1">
        <v>900040</v>
      </c>
      <c r="B75" s="2">
        <v>47800</v>
      </c>
      <c r="C75" s="1" t="s">
        <v>76</v>
      </c>
      <c r="D75" s="3" t="s">
        <v>77</v>
      </c>
      <c r="F75" s="26">
        <v>1.9999999999820162E-4</v>
      </c>
      <c r="G75" s="40"/>
      <c r="H75" s="40"/>
      <c r="I75" s="40"/>
      <c r="J75" s="26">
        <f t="shared" ref="J75:J89" si="6">SUM(F75:I75)</f>
        <v>1.9999999999820162E-4</v>
      </c>
      <c r="K75" s="27">
        <v>1.9999999999820162E-4</v>
      </c>
      <c r="L75" s="41"/>
      <c r="M75" s="41"/>
      <c r="N75" s="41"/>
      <c r="O75" s="41">
        <f t="shared" ref="O75:O92" si="7">SUM(K75:N75)</f>
        <v>1.9999999999820162E-4</v>
      </c>
      <c r="P75" s="28">
        <v>1.9999999999820162E-4</v>
      </c>
      <c r="Q75" s="39"/>
      <c r="R75" s="39"/>
      <c r="S75" s="39"/>
      <c r="T75" s="26">
        <v>1.9999999999820162E-4</v>
      </c>
      <c r="U75" s="40"/>
      <c r="V75" s="40"/>
      <c r="W75" s="40"/>
      <c r="X75" s="26">
        <f t="shared" ref="X75:X91" si="8">SUM(T75:W75)</f>
        <v>1.9999999999820162E-4</v>
      </c>
      <c r="Y75" s="27">
        <v>1.9999999999820162E-4</v>
      </c>
      <c r="Z75" s="41"/>
      <c r="AA75" s="41"/>
      <c r="AB75" s="41"/>
      <c r="AC75" s="41">
        <f t="shared" ref="AC75:AC92" si="9">SUM(Y75:AB75)</f>
        <v>1.9999999999820162E-4</v>
      </c>
      <c r="AD75" s="28">
        <f t="shared" ref="AD75:AD92" si="10">SUM(P75:S75)</f>
        <v>1.9999999999820162E-4</v>
      </c>
      <c r="AE75" s="39"/>
      <c r="AF75" s="39"/>
      <c r="AG75" s="39"/>
      <c r="AH75" s="28">
        <f t="shared" ref="AH75:AH92" si="11">SUM(AD75:AG75)</f>
        <v>1.9999999999820162E-4</v>
      </c>
      <c r="AI75" s="39"/>
      <c r="AJ75" s="39"/>
      <c r="AK75" s="39"/>
      <c r="AL75" s="28">
        <f t="shared" ref="AL75:AL92" si="12">SUM(AH75:AK75)</f>
        <v>1.9999999999820162E-4</v>
      </c>
      <c r="AM75" s="39"/>
      <c r="AN75" s="39"/>
      <c r="AO75" s="39"/>
      <c r="AP75" s="28">
        <f t="shared" ref="AP75:AP92" si="13">SUM(AL75:AO75)</f>
        <v>1.9999999999820162E-4</v>
      </c>
      <c r="AQ75" s="39"/>
      <c r="AR75" s="39"/>
      <c r="AS75" s="39"/>
      <c r="AT75" s="28">
        <f t="shared" ref="AT75:AT92" si="14">SUM(AP75:AS75)</f>
        <v>1.9999999999820162E-4</v>
      </c>
      <c r="AU75" s="39"/>
      <c r="AV75" s="39"/>
      <c r="AW75" s="39"/>
      <c r="AX75" s="28">
        <f t="shared" ref="AX75:AX92" si="15">SUM(AT75:AW75)</f>
        <v>1.9999999999820162E-4</v>
      </c>
      <c r="AY75" s="39"/>
      <c r="AZ75" s="39"/>
      <c r="BA75" s="39"/>
      <c r="BB75" s="28">
        <f t="shared" ref="BB75:BB92" si="16">SUM(AX75:BA75)</f>
        <v>1.9999999999820162E-4</v>
      </c>
      <c r="BC75" s="39"/>
      <c r="BD75" s="39"/>
      <c r="BE75" s="39"/>
      <c r="BF75" s="28">
        <f t="shared" ref="BF75:BF92" si="17">SUM(BB75:BE75)</f>
        <v>1.9999999999820162E-4</v>
      </c>
      <c r="BG75" s="39"/>
      <c r="BH75" s="39"/>
      <c r="BI75" s="39"/>
      <c r="BJ75" s="28">
        <f t="shared" ref="BJ75:BJ92" si="18">SUM(BF75:BI75)</f>
        <v>1.9999999999820162E-4</v>
      </c>
    </row>
    <row r="76" spans="1:62" ht="12.75" hidden="1" customHeight="1" x14ac:dyDescent="0.2">
      <c r="B76" s="2">
        <v>47773</v>
      </c>
      <c r="C76" s="1" t="s">
        <v>31</v>
      </c>
      <c r="D76" s="3" t="s">
        <v>78</v>
      </c>
      <c r="F76" s="26">
        <v>2.3000000000138243E-2</v>
      </c>
      <c r="G76" s="26"/>
      <c r="H76" s="26"/>
      <c r="I76" s="26"/>
      <c r="J76" s="26">
        <f t="shared" si="6"/>
        <v>2.3000000000138243E-2</v>
      </c>
      <c r="K76" s="27">
        <v>2.3000000000138243E-2</v>
      </c>
      <c r="L76" s="27"/>
      <c r="M76" s="27"/>
      <c r="N76" s="27"/>
      <c r="O76" s="27">
        <f t="shared" si="7"/>
        <v>2.3000000000138243E-2</v>
      </c>
      <c r="P76" s="28">
        <v>2.3000000000138243E-2</v>
      </c>
      <c r="Q76" s="29"/>
      <c r="R76" s="29"/>
      <c r="S76" s="29"/>
      <c r="T76" s="26">
        <v>2.3000000000138243E-2</v>
      </c>
      <c r="U76" s="26"/>
      <c r="V76" s="26"/>
      <c r="W76" s="26"/>
      <c r="X76" s="26">
        <f t="shared" si="8"/>
        <v>2.3000000000138243E-2</v>
      </c>
      <c r="Y76" s="27">
        <v>2.3000000000138243E-2</v>
      </c>
      <c r="Z76" s="27"/>
      <c r="AA76" s="27"/>
      <c r="AB76" s="27"/>
      <c r="AC76" s="27">
        <f t="shared" si="9"/>
        <v>2.3000000000138243E-2</v>
      </c>
      <c r="AD76" s="28">
        <f t="shared" si="10"/>
        <v>2.3000000000138243E-2</v>
      </c>
      <c r="AE76" s="29"/>
      <c r="AF76" s="29"/>
      <c r="AG76" s="29"/>
      <c r="AH76" s="28">
        <f t="shared" si="11"/>
        <v>2.3000000000138243E-2</v>
      </c>
      <c r="AI76" s="29"/>
      <c r="AJ76" s="29"/>
      <c r="AK76" s="29"/>
      <c r="AL76" s="28">
        <f t="shared" si="12"/>
        <v>2.3000000000138243E-2</v>
      </c>
      <c r="AM76" s="29"/>
      <c r="AN76" s="29"/>
      <c r="AO76" s="29"/>
      <c r="AP76" s="28">
        <f t="shared" si="13"/>
        <v>2.3000000000138243E-2</v>
      </c>
      <c r="AQ76" s="29"/>
      <c r="AR76" s="29"/>
      <c r="AS76" s="29"/>
      <c r="AT76" s="28">
        <f t="shared" si="14"/>
        <v>2.3000000000138243E-2</v>
      </c>
      <c r="AU76" s="29"/>
      <c r="AV76" s="29"/>
      <c r="AW76" s="29"/>
      <c r="AX76" s="28">
        <f t="shared" si="15"/>
        <v>2.3000000000138243E-2</v>
      </c>
      <c r="AY76" s="29"/>
      <c r="AZ76" s="29"/>
      <c r="BA76" s="29"/>
      <c r="BB76" s="28">
        <f t="shared" si="16"/>
        <v>2.3000000000138243E-2</v>
      </c>
      <c r="BC76" s="29"/>
      <c r="BD76" s="29"/>
      <c r="BE76" s="29"/>
      <c r="BF76" s="28">
        <f t="shared" si="17"/>
        <v>2.3000000000138243E-2</v>
      </c>
      <c r="BG76" s="29"/>
      <c r="BH76" s="29"/>
      <c r="BI76" s="29"/>
      <c r="BJ76" s="28">
        <f t="shared" si="18"/>
        <v>2.3000000000138243E-2</v>
      </c>
    </row>
    <row r="77" spans="1:62" ht="12.75" customHeight="1" x14ac:dyDescent="0.2">
      <c r="B77" s="2">
        <v>47761</v>
      </c>
      <c r="C77" s="1" t="s">
        <v>79</v>
      </c>
      <c r="D77" s="92" t="s">
        <v>80</v>
      </c>
      <c r="E77" s="92" t="s">
        <v>81</v>
      </c>
      <c r="F77" s="26">
        <v>805.06200000000001</v>
      </c>
      <c r="G77" s="26"/>
      <c r="H77" s="26"/>
      <c r="I77" s="26"/>
      <c r="J77" s="26">
        <f t="shared" si="6"/>
        <v>805.06200000000001</v>
      </c>
      <c r="K77" s="27">
        <v>805.06200000000001</v>
      </c>
      <c r="L77" s="27"/>
      <c r="M77" s="27"/>
      <c r="N77" s="27"/>
      <c r="O77" s="27">
        <f t="shared" si="7"/>
        <v>805.06200000000001</v>
      </c>
      <c r="P77" s="28">
        <v>805.06200000000001</v>
      </c>
      <c r="Q77" s="29"/>
      <c r="R77" s="29"/>
      <c r="S77" s="29"/>
      <c r="T77" s="26">
        <v>805.06200000000001</v>
      </c>
      <c r="U77" s="26"/>
      <c r="V77" s="26">
        <v>-305.06200000000001</v>
      </c>
      <c r="W77" s="26"/>
      <c r="X77" s="26">
        <f t="shared" si="8"/>
        <v>500</v>
      </c>
      <c r="Y77" s="27">
        <v>805.06200000000001</v>
      </c>
      <c r="Z77" s="27"/>
      <c r="AA77" s="27">
        <v>-305.06200000000001</v>
      </c>
      <c r="AB77" s="27"/>
      <c r="AC77" s="27">
        <f t="shared" si="9"/>
        <v>500</v>
      </c>
      <c r="AD77" s="28">
        <f t="shared" si="10"/>
        <v>805.06200000000001</v>
      </c>
      <c r="AE77" s="39">
        <f>U77</f>
        <v>0</v>
      </c>
      <c r="AF77" s="39">
        <f>V77</f>
        <v>-305.06200000000001</v>
      </c>
      <c r="AG77" s="39">
        <f>W77</f>
        <v>0</v>
      </c>
      <c r="AH77" s="28">
        <f t="shared" si="11"/>
        <v>500</v>
      </c>
      <c r="AI77" s="29"/>
      <c r="AJ77" s="29"/>
      <c r="AK77" s="29"/>
      <c r="AL77" s="28">
        <f t="shared" si="12"/>
        <v>500</v>
      </c>
      <c r="AM77" s="29"/>
      <c r="AN77" s="29"/>
      <c r="AO77" s="29"/>
      <c r="AP77" s="28">
        <f t="shared" si="13"/>
        <v>500</v>
      </c>
      <c r="AQ77" s="29"/>
      <c r="AR77" s="29"/>
      <c r="AS77" s="29"/>
      <c r="AT77" s="28">
        <f t="shared" si="14"/>
        <v>500</v>
      </c>
      <c r="AU77" s="29"/>
      <c r="AV77" s="29"/>
      <c r="AW77" s="29"/>
      <c r="AX77" s="28">
        <f t="shared" si="15"/>
        <v>500</v>
      </c>
      <c r="AY77" s="29"/>
      <c r="AZ77" s="29"/>
      <c r="BA77" s="29"/>
      <c r="BB77" s="28">
        <f t="shared" si="16"/>
        <v>500</v>
      </c>
      <c r="BC77" s="29"/>
      <c r="BD77" s="29"/>
      <c r="BE77" s="29"/>
      <c r="BF77" s="28">
        <f t="shared" si="17"/>
        <v>500</v>
      </c>
      <c r="BG77" s="29"/>
      <c r="BH77" s="29"/>
      <c r="BI77" s="29"/>
      <c r="BJ77" s="28">
        <f t="shared" si="18"/>
        <v>500</v>
      </c>
    </row>
    <row r="78" spans="1:62" ht="12.75" hidden="1" customHeight="1" x14ac:dyDescent="0.2">
      <c r="B78" s="2">
        <v>47740</v>
      </c>
      <c r="C78" s="1" t="s">
        <v>82</v>
      </c>
      <c r="D78" s="3" t="s">
        <v>83</v>
      </c>
      <c r="F78" s="26">
        <v>0</v>
      </c>
      <c r="G78" s="26"/>
      <c r="H78" s="26"/>
      <c r="I78" s="26"/>
      <c r="J78" s="26">
        <f t="shared" si="6"/>
        <v>0</v>
      </c>
      <c r="K78" s="27">
        <v>0</v>
      </c>
      <c r="L78" s="27"/>
      <c r="M78" s="27"/>
      <c r="N78" s="27"/>
      <c r="O78" s="27">
        <f t="shared" si="7"/>
        <v>0</v>
      </c>
      <c r="P78" s="28">
        <v>0</v>
      </c>
      <c r="Q78" s="29"/>
      <c r="R78" s="29"/>
      <c r="S78" s="29"/>
      <c r="T78" s="26">
        <v>0</v>
      </c>
      <c r="U78" s="26"/>
      <c r="V78" s="26"/>
      <c r="W78" s="26"/>
      <c r="X78" s="26">
        <f t="shared" si="8"/>
        <v>0</v>
      </c>
      <c r="Y78" s="27">
        <v>0</v>
      </c>
      <c r="Z78" s="27"/>
      <c r="AA78" s="27"/>
      <c r="AB78" s="27"/>
      <c r="AC78" s="27">
        <f t="shared" si="9"/>
        <v>0</v>
      </c>
      <c r="AD78" s="28">
        <f t="shared" si="10"/>
        <v>0</v>
      </c>
      <c r="AE78" s="29"/>
      <c r="AF78" s="29"/>
      <c r="AG78" s="29"/>
      <c r="AH78" s="28">
        <f t="shared" si="11"/>
        <v>0</v>
      </c>
      <c r="AI78" s="29"/>
      <c r="AJ78" s="29"/>
      <c r="AK78" s="29"/>
      <c r="AL78" s="28">
        <f t="shared" si="12"/>
        <v>0</v>
      </c>
      <c r="AM78" s="29"/>
      <c r="AN78" s="29"/>
      <c r="AO78" s="29"/>
      <c r="AP78" s="28">
        <f t="shared" si="13"/>
        <v>0</v>
      </c>
      <c r="AQ78" s="29"/>
      <c r="AR78" s="29"/>
      <c r="AS78" s="29"/>
      <c r="AT78" s="28">
        <f t="shared" si="14"/>
        <v>0</v>
      </c>
      <c r="AU78" s="29"/>
      <c r="AV78" s="29"/>
      <c r="AW78" s="29"/>
      <c r="AX78" s="28">
        <f t="shared" si="15"/>
        <v>0</v>
      </c>
      <c r="AY78" s="29"/>
      <c r="AZ78" s="29"/>
      <c r="BA78" s="29"/>
      <c r="BB78" s="28">
        <f t="shared" si="16"/>
        <v>0</v>
      </c>
      <c r="BC78" s="29"/>
      <c r="BD78" s="29"/>
      <c r="BE78" s="29"/>
      <c r="BF78" s="28">
        <f t="shared" si="17"/>
        <v>0</v>
      </c>
      <c r="BG78" s="29"/>
      <c r="BH78" s="29"/>
      <c r="BI78" s="29"/>
      <c r="BJ78" s="28">
        <f t="shared" si="18"/>
        <v>0</v>
      </c>
    </row>
    <row r="79" spans="1:62" ht="12.75" hidden="1" customHeight="1" x14ac:dyDescent="0.2">
      <c r="B79" s="2">
        <v>47776</v>
      </c>
      <c r="C79" s="1" t="s">
        <v>84</v>
      </c>
      <c r="D79" s="3" t="s">
        <v>85</v>
      </c>
      <c r="F79" s="26">
        <v>0</v>
      </c>
      <c r="G79" s="40"/>
      <c r="H79" s="40"/>
      <c r="I79" s="40"/>
      <c r="J79" s="26">
        <f t="shared" si="6"/>
        <v>0</v>
      </c>
      <c r="K79" s="27">
        <v>0</v>
      </c>
      <c r="L79" s="41"/>
      <c r="M79" s="41"/>
      <c r="N79" s="41"/>
      <c r="O79" s="41">
        <f t="shared" si="7"/>
        <v>0</v>
      </c>
      <c r="P79" s="28">
        <v>0</v>
      </c>
      <c r="Q79" s="39"/>
      <c r="R79" s="39"/>
      <c r="S79" s="39"/>
      <c r="T79" s="26">
        <v>0</v>
      </c>
      <c r="U79" s="40"/>
      <c r="V79" s="40"/>
      <c r="W79" s="40"/>
      <c r="X79" s="26">
        <f t="shared" si="8"/>
        <v>0</v>
      </c>
      <c r="Y79" s="27">
        <v>0</v>
      </c>
      <c r="Z79" s="41"/>
      <c r="AA79" s="41"/>
      <c r="AB79" s="41"/>
      <c r="AC79" s="41">
        <f t="shared" si="9"/>
        <v>0</v>
      </c>
      <c r="AD79" s="28">
        <f t="shared" si="10"/>
        <v>0</v>
      </c>
      <c r="AE79" s="39"/>
      <c r="AF79" s="39"/>
      <c r="AG79" s="39"/>
      <c r="AH79" s="28">
        <f t="shared" si="11"/>
        <v>0</v>
      </c>
      <c r="AI79" s="39"/>
      <c r="AJ79" s="39"/>
      <c r="AK79" s="39"/>
      <c r="AL79" s="28">
        <f t="shared" si="12"/>
        <v>0</v>
      </c>
      <c r="AM79" s="39"/>
      <c r="AN79" s="39"/>
      <c r="AO79" s="39"/>
      <c r="AP79" s="28">
        <f t="shared" si="13"/>
        <v>0</v>
      </c>
      <c r="AQ79" s="39"/>
      <c r="AR79" s="39"/>
      <c r="AS79" s="39"/>
      <c r="AT79" s="28">
        <f t="shared" si="14"/>
        <v>0</v>
      </c>
      <c r="AU79" s="39"/>
      <c r="AV79" s="39"/>
      <c r="AW79" s="39"/>
      <c r="AX79" s="28">
        <f t="shared" si="15"/>
        <v>0</v>
      </c>
      <c r="AY79" s="39"/>
      <c r="AZ79" s="39"/>
      <c r="BA79" s="39"/>
      <c r="BB79" s="28">
        <f t="shared" si="16"/>
        <v>0</v>
      </c>
      <c r="BC79" s="39"/>
      <c r="BD79" s="39"/>
      <c r="BE79" s="39"/>
      <c r="BF79" s="28">
        <f t="shared" si="17"/>
        <v>0</v>
      </c>
      <c r="BG79" s="39"/>
      <c r="BH79" s="39"/>
      <c r="BI79" s="39"/>
      <c r="BJ79" s="28">
        <f t="shared" si="18"/>
        <v>0</v>
      </c>
    </row>
    <row r="80" spans="1:62" ht="12.75" customHeight="1" x14ac:dyDescent="0.2">
      <c r="A80" s="48"/>
      <c r="B80" s="2" t="s">
        <v>86</v>
      </c>
      <c r="C80" s="1" t="s">
        <v>82</v>
      </c>
      <c r="D80" s="3" t="s">
        <v>87</v>
      </c>
      <c r="E80" s="3" t="s">
        <v>88</v>
      </c>
      <c r="F80" s="26">
        <v>430.61700000000002</v>
      </c>
      <c r="G80" s="93">
        <f>27.525+500+500</f>
        <v>1027.5250000000001</v>
      </c>
      <c r="H80" s="93">
        <f>-17.7-82-119.075</f>
        <v>-218.77500000000001</v>
      </c>
      <c r="I80" s="52">
        <f>5+403.5-10.944</f>
        <v>397.55599999999998</v>
      </c>
      <c r="J80" s="26">
        <f t="shared" si="6"/>
        <v>1636.923</v>
      </c>
      <c r="K80" s="27">
        <v>430.61700000000002</v>
      </c>
      <c r="L80" s="41">
        <v>27.524999999999999</v>
      </c>
      <c r="M80" s="41">
        <f>-1.685+1.685-17.7-183.3-119.075</f>
        <v>-320.07499999999999</v>
      </c>
      <c r="N80" s="41">
        <f>5+403.5-10.944</f>
        <v>397.55599999999998</v>
      </c>
      <c r="O80" s="41">
        <f t="shared" si="7"/>
        <v>535.62300000000005</v>
      </c>
      <c r="P80" s="28">
        <v>430.61700000000002</v>
      </c>
      <c r="Q80" s="39">
        <f>27.525+500+500</f>
        <v>1027.5250000000001</v>
      </c>
      <c r="R80" s="39">
        <f>-1.685+1.685-17.7-119.075</f>
        <v>-136.77500000000001</v>
      </c>
      <c r="S80" s="39">
        <f>5+403.5</f>
        <v>408.5</v>
      </c>
      <c r="T80" s="26">
        <v>1636.923</v>
      </c>
      <c r="U80" s="51">
        <f>18.267+25.259+49.721+250</f>
        <v>343.24699999999996</v>
      </c>
      <c r="V80" s="51">
        <f>-56.7-120.184-27.525-80.33-500</f>
        <v>-784.73900000000003</v>
      </c>
      <c r="W80" s="52">
        <f>125-575.41-85.317+23.403</f>
        <v>-512.32399999999996</v>
      </c>
      <c r="X80" s="26">
        <f>SUM(T80:W80)</f>
        <v>683.10700000000008</v>
      </c>
      <c r="Y80" s="27">
        <v>1636.923</v>
      </c>
      <c r="Z80" s="41"/>
      <c r="AA80" s="41">
        <f>-56.7-120.184-27.525-80.33-500</f>
        <v>-784.73900000000003</v>
      </c>
      <c r="AB80" s="41"/>
      <c r="AC80" s="41">
        <f t="shared" si="9"/>
        <v>852.18399999999997</v>
      </c>
      <c r="AD80" s="28">
        <f>J80</f>
        <v>1636.923</v>
      </c>
      <c r="AE80" s="39">
        <f t="shared" ref="AE80:AG81" si="19">U80</f>
        <v>343.24699999999996</v>
      </c>
      <c r="AF80" s="39">
        <f t="shared" si="19"/>
        <v>-784.73900000000003</v>
      </c>
      <c r="AG80" s="39">
        <f t="shared" si="19"/>
        <v>-512.32399999999996</v>
      </c>
      <c r="AH80" s="28">
        <f t="shared" si="11"/>
        <v>683.10700000000008</v>
      </c>
      <c r="AI80" s="39"/>
      <c r="AJ80" s="39">
        <f>-120.184-25-24.081-9.697</f>
        <v>-178.96199999999999</v>
      </c>
      <c r="AK80" s="39">
        <v>-125</v>
      </c>
      <c r="AL80" s="28">
        <f t="shared" si="12"/>
        <v>379.1450000000001</v>
      </c>
      <c r="AM80" s="39"/>
      <c r="AN80" s="39">
        <f>-44.057-24.082-3.232</f>
        <v>-71.371000000000009</v>
      </c>
      <c r="AO80" s="39">
        <f>-125</f>
        <v>-125</v>
      </c>
      <c r="AP80" s="28">
        <f t="shared" si="13"/>
        <v>182.77400000000011</v>
      </c>
      <c r="AQ80" s="39"/>
      <c r="AR80" s="29"/>
      <c r="AS80" s="39"/>
      <c r="AT80" s="28">
        <f t="shared" si="14"/>
        <v>182.77400000000011</v>
      </c>
      <c r="AU80" s="39"/>
      <c r="AV80" s="29"/>
      <c r="AW80" s="39"/>
      <c r="AX80" s="28">
        <f t="shared" si="15"/>
        <v>182.77400000000011</v>
      </c>
      <c r="AY80" s="39"/>
      <c r="AZ80" s="29"/>
      <c r="BA80" s="39"/>
      <c r="BB80" s="28">
        <f t="shared" si="16"/>
        <v>182.77400000000011</v>
      </c>
      <c r="BC80" s="39"/>
      <c r="BD80" s="39"/>
      <c r="BE80" s="39"/>
      <c r="BF80" s="28">
        <f t="shared" si="17"/>
        <v>182.77400000000011</v>
      </c>
      <c r="BG80" s="39"/>
      <c r="BH80" s="39"/>
      <c r="BI80" s="39"/>
      <c r="BJ80" s="28">
        <f t="shared" si="18"/>
        <v>182.77400000000011</v>
      </c>
    </row>
    <row r="81" spans="1:62" ht="12.75" customHeight="1" x14ac:dyDescent="0.2">
      <c r="A81" s="48" t="s">
        <v>48</v>
      </c>
      <c r="B81" s="2" t="s">
        <v>55</v>
      </c>
      <c r="C81" s="1" t="s">
        <v>89</v>
      </c>
      <c r="D81" s="3" t="s">
        <v>90</v>
      </c>
      <c r="F81" s="26">
        <v>600</v>
      </c>
      <c r="G81" s="51">
        <f>380+563.308</f>
        <v>943.30799999999999</v>
      </c>
      <c r="H81" s="51">
        <v>-300</v>
      </c>
      <c r="I81" s="52"/>
      <c r="J81" s="26">
        <f>SUM(F81:I81)</f>
        <v>1243.308</v>
      </c>
      <c r="K81" s="27">
        <v>600</v>
      </c>
      <c r="L81" s="41"/>
      <c r="M81" s="41">
        <f>-250-300</f>
        <v>-550</v>
      </c>
      <c r="N81" s="41"/>
      <c r="O81" s="41">
        <f>SUM(K81:N81)</f>
        <v>50</v>
      </c>
      <c r="P81" s="28">
        <v>600</v>
      </c>
      <c r="Q81" s="39"/>
      <c r="R81" s="39">
        <f>-250-300</f>
        <v>-550</v>
      </c>
      <c r="S81" s="39"/>
      <c r="T81" s="26">
        <v>1243.308</v>
      </c>
      <c r="U81" s="51"/>
      <c r="V81" s="51">
        <f>-0.333-2-5-13.81-15-21.203-22.797-23.165-63-66-100-100-110-184</f>
        <v>-726.30799999999999</v>
      </c>
      <c r="W81" s="52">
        <f>-14-35-168-300</f>
        <v>-517</v>
      </c>
      <c r="X81" s="26">
        <f t="shared" si="8"/>
        <v>0</v>
      </c>
      <c r="Y81" s="27">
        <v>1243.308</v>
      </c>
      <c r="Z81" s="41"/>
      <c r="AA81" s="41">
        <f>-84.474-23.165-21.203-13.81</f>
        <v>-142.65200000000002</v>
      </c>
      <c r="AB81" s="41"/>
      <c r="AC81" s="41">
        <f t="shared" si="9"/>
        <v>1100.6559999999999</v>
      </c>
      <c r="AD81" s="28">
        <f>J81</f>
        <v>1243.308</v>
      </c>
      <c r="AE81" s="39">
        <f t="shared" si="19"/>
        <v>0</v>
      </c>
      <c r="AF81" s="39">
        <f t="shared" si="19"/>
        <v>-726.30799999999999</v>
      </c>
      <c r="AG81" s="39">
        <f t="shared" si="19"/>
        <v>-517</v>
      </c>
      <c r="AH81" s="28">
        <f>SUM(AD81:AG81)</f>
        <v>0</v>
      </c>
      <c r="AI81" s="39"/>
      <c r="AJ81" s="39"/>
      <c r="AK81" s="39"/>
      <c r="AL81" s="28">
        <f t="shared" si="12"/>
        <v>0</v>
      </c>
      <c r="AM81" s="39"/>
      <c r="AN81" s="39"/>
      <c r="AO81" s="39"/>
      <c r="AP81" s="28">
        <f t="shared" si="13"/>
        <v>0</v>
      </c>
      <c r="AQ81" s="39"/>
      <c r="AR81" s="39"/>
      <c r="AS81" s="39"/>
      <c r="AT81" s="28">
        <f t="shared" si="14"/>
        <v>0</v>
      </c>
      <c r="AU81" s="39"/>
      <c r="AV81" s="39"/>
      <c r="AW81" s="39"/>
      <c r="AX81" s="28">
        <f t="shared" si="15"/>
        <v>0</v>
      </c>
      <c r="AY81" s="39"/>
      <c r="AZ81" s="39"/>
      <c r="BA81" s="39"/>
      <c r="BB81" s="28">
        <f t="shared" si="16"/>
        <v>0</v>
      </c>
      <c r="BC81" s="39"/>
      <c r="BD81" s="39"/>
      <c r="BE81" s="39"/>
      <c r="BF81" s="28">
        <f t="shared" si="17"/>
        <v>0</v>
      </c>
      <c r="BG81" s="39"/>
      <c r="BH81" s="39"/>
      <c r="BI81" s="39"/>
      <c r="BJ81" s="28">
        <f t="shared" si="18"/>
        <v>0</v>
      </c>
    </row>
    <row r="82" spans="1:62" ht="12.75" hidden="1" customHeight="1" x14ac:dyDescent="0.2">
      <c r="A82" s="48"/>
      <c r="B82" s="2">
        <v>47771</v>
      </c>
      <c r="C82" s="1" t="s">
        <v>91</v>
      </c>
      <c r="D82" s="3" t="s">
        <v>92</v>
      </c>
      <c r="F82" s="26">
        <v>0</v>
      </c>
      <c r="G82" s="26"/>
      <c r="H82" s="26"/>
      <c r="I82" s="40"/>
      <c r="J82" s="26">
        <f t="shared" si="6"/>
        <v>0</v>
      </c>
      <c r="K82" s="27">
        <v>0</v>
      </c>
      <c r="L82" s="41"/>
      <c r="M82" s="41"/>
      <c r="N82" s="41"/>
      <c r="O82" s="41">
        <f t="shared" si="7"/>
        <v>0</v>
      </c>
      <c r="P82" s="28">
        <v>0</v>
      </c>
      <c r="Q82" s="39"/>
      <c r="R82" s="39"/>
      <c r="S82" s="39"/>
      <c r="T82" s="26">
        <v>0</v>
      </c>
      <c r="U82" s="26"/>
      <c r="V82" s="26"/>
      <c r="W82" s="40"/>
      <c r="X82" s="26">
        <f t="shared" si="8"/>
        <v>0</v>
      </c>
      <c r="Y82" s="27">
        <v>0</v>
      </c>
      <c r="Z82" s="41"/>
      <c r="AA82" s="41"/>
      <c r="AB82" s="41"/>
      <c r="AC82" s="41">
        <f t="shared" si="9"/>
        <v>0</v>
      </c>
      <c r="AD82" s="28">
        <f t="shared" si="10"/>
        <v>0</v>
      </c>
      <c r="AE82" s="39"/>
      <c r="AF82" s="39"/>
      <c r="AG82" s="39"/>
      <c r="AH82" s="28">
        <f t="shared" si="11"/>
        <v>0</v>
      </c>
      <c r="AI82" s="39"/>
      <c r="AJ82" s="39"/>
      <c r="AK82" s="39"/>
      <c r="AL82" s="28">
        <f t="shared" si="12"/>
        <v>0</v>
      </c>
      <c r="AM82" s="39"/>
      <c r="AN82" s="39"/>
      <c r="AO82" s="39"/>
      <c r="AP82" s="28">
        <f t="shared" si="13"/>
        <v>0</v>
      </c>
      <c r="AQ82" s="39"/>
      <c r="AR82" s="39"/>
      <c r="AS82" s="39"/>
      <c r="AT82" s="28">
        <f t="shared" si="14"/>
        <v>0</v>
      </c>
      <c r="AU82" s="39"/>
      <c r="AV82" s="39"/>
      <c r="AW82" s="39"/>
      <c r="AX82" s="28">
        <f t="shared" si="15"/>
        <v>0</v>
      </c>
      <c r="AY82" s="39"/>
      <c r="AZ82" s="39"/>
      <c r="BA82" s="39"/>
      <c r="BB82" s="28">
        <f t="shared" si="16"/>
        <v>0</v>
      </c>
      <c r="BC82" s="39"/>
      <c r="BD82" s="39"/>
      <c r="BE82" s="39"/>
      <c r="BF82" s="28">
        <f t="shared" si="17"/>
        <v>0</v>
      </c>
      <c r="BG82" s="39"/>
      <c r="BH82" s="39"/>
      <c r="BI82" s="39"/>
      <c r="BJ82" s="28">
        <f t="shared" si="18"/>
        <v>0</v>
      </c>
    </row>
    <row r="83" spans="1:62" ht="12.75" hidden="1" customHeight="1" x14ac:dyDescent="0.2">
      <c r="B83" s="2">
        <v>47772</v>
      </c>
      <c r="C83" s="1" t="s">
        <v>61</v>
      </c>
      <c r="D83" s="3" t="s">
        <v>93</v>
      </c>
      <c r="F83" s="26">
        <v>-5.0000000001091394E-3</v>
      </c>
      <c r="G83" s="26"/>
      <c r="H83" s="26"/>
      <c r="I83" s="40"/>
      <c r="J83" s="26">
        <f t="shared" si="6"/>
        <v>-5.0000000001091394E-3</v>
      </c>
      <c r="K83" s="27">
        <v>-5.0000000001091394E-3</v>
      </c>
      <c r="L83" s="41">
        <f>22.25-14.456-7.794</f>
        <v>0</v>
      </c>
      <c r="M83" s="41"/>
      <c r="N83" s="41"/>
      <c r="O83" s="41">
        <f t="shared" si="7"/>
        <v>-5.0000000001091394E-3</v>
      </c>
      <c r="P83" s="28">
        <v>-5.0000000001091394E-3</v>
      </c>
      <c r="Q83" s="39">
        <f>22.25-14.456-7.794</f>
        <v>0</v>
      </c>
      <c r="R83" s="39"/>
      <c r="S83" s="39"/>
      <c r="T83" s="26">
        <v>-5.0000000001091394E-3</v>
      </c>
      <c r="U83" s="26"/>
      <c r="V83" s="26"/>
      <c r="W83" s="40"/>
      <c r="X83" s="26">
        <f t="shared" si="8"/>
        <v>-5.0000000001091394E-3</v>
      </c>
      <c r="Y83" s="27">
        <v>-5.0000000001091394E-3</v>
      </c>
      <c r="Z83" s="41">
        <v>0</v>
      </c>
      <c r="AA83" s="41"/>
      <c r="AB83" s="41"/>
      <c r="AC83" s="41">
        <f t="shared" si="9"/>
        <v>-5.0000000001091394E-3</v>
      </c>
      <c r="AD83" s="28">
        <f t="shared" si="10"/>
        <v>-5.0000000001091394E-3</v>
      </c>
      <c r="AE83" s="39">
        <f>22.25-14.456-7.794</f>
        <v>0</v>
      </c>
      <c r="AF83" s="39"/>
      <c r="AG83" s="39"/>
      <c r="AH83" s="28">
        <f t="shared" si="11"/>
        <v>-5.0000000001091394E-3</v>
      </c>
      <c r="AI83" s="39">
        <f>22.25-14.456-7.794</f>
        <v>0</v>
      </c>
      <c r="AJ83" s="39"/>
      <c r="AK83" s="39"/>
      <c r="AL83" s="28">
        <f t="shared" si="12"/>
        <v>-5.0000000001091394E-3</v>
      </c>
      <c r="AM83" s="39"/>
      <c r="AN83" s="39"/>
      <c r="AO83" s="39"/>
      <c r="AP83" s="28">
        <f t="shared" si="13"/>
        <v>-5.0000000001091394E-3</v>
      </c>
      <c r="AQ83" s="39"/>
      <c r="AR83" s="39"/>
      <c r="AS83" s="39"/>
      <c r="AT83" s="28">
        <f t="shared" si="14"/>
        <v>-5.0000000001091394E-3</v>
      </c>
      <c r="AU83" s="39"/>
      <c r="AV83" s="39"/>
      <c r="AW83" s="39"/>
      <c r="AX83" s="28">
        <f t="shared" si="15"/>
        <v>-5.0000000001091394E-3</v>
      </c>
      <c r="AY83" s="39"/>
      <c r="AZ83" s="39"/>
      <c r="BA83" s="39"/>
      <c r="BB83" s="28">
        <f t="shared" si="16"/>
        <v>-5.0000000001091394E-3</v>
      </c>
      <c r="BC83" s="39"/>
      <c r="BD83" s="39"/>
      <c r="BE83" s="39"/>
      <c r="BF83" s="28">
        <f t="shared" si="17"/>
        <v>-5.0000000001091394E-3</v>
      </c>
      <c r="BG83" s="39"/>
      <c r="BH83" s="39"/>
      <c r="BI83" s="39"/>
      <c r="BJ83" s="28">
        <f t="shared" si="18"/>
        <v>-5.0000000001091394E-3</v>
      </c>
    </row>
    <row r="84" spans="1:62" ht="12.75" hidden="1" customHeight="1" x14ac:dyDescent="0.2">
      <c r="A84" s="48" t="s">
        <v>48</v>
      </c>
      <c r="B84" s="2">
        <v>47720</v>
      </c>
      <c r="D84" s="3" t="s">
        <v>94</v>
      </c>
      <c r="F84" s="26">
        <v>0</v>
      </c>
      <c r="G84" s="26"/>
      <c r="H84" s="26"/>
      <c r="I84" s="40"/>
      <c r="J84" s="26">
        <f t="shared" si="6"/>
        <v>0</v>
      </c>
      <c r="K84" s="27">
        <v>0</v>
      </c>
      <c r="L84" s="41"/>
      <c r="M84" s="41"/>
      <c r="N84" s="41"/>
      <c r="O84" s="41">
        <f t="shared" si="7"/>
        <v>0</v>
      </c>
      <c r="P84" s="28">
        <v>0</v>
      </c>
      <c r="Q84" s="39"/>
      <c r="R84" s="39"/>
      <c r="S84" s="39"/>
      <c r="T84" s="26">
        <v>0</v>
      </c>
      <c r="U84" s="26"/>
      <c r="V84" s="26"/>
      <c r="W84" s="40"/>
      <c r="X84" s="26">
        <f t="shared" si="8"/>
        <v>0</v>
      </c>
      <c r="Y84" s="27">
        <v>0</v>
      </c>
      <c r="Z84" s="41"/>
      <c r="AA84" s="41"/>
      <c r="AB84" s="41"/>
      <c r="AC84" s="41">
        <f t="shared" si="9"/>
        <v>0</v>
      </c>
      <c r="AD84" s="28">
        <f t="shared" si="10"/>
        <v>0</v>
      </c>
      <c r="AE84" s="39"/>
      <c r="AF84" s="39"/>
      <c r="AG84" s="39"/>
      <c r="AH84" s="28">
        <f t="shared" si="11"/>
        <v>0</v>
      </c>
      <c r="AI84" s="39"/>
      <c r="AJ84" s="39"/>
      <c r="AK84" s="39"/>
      <c r="AL84" s="28">
        <f t="shared" si="12"/>
        <v>0</v>
      </c>
      <c r="AM84" s="39"/>
      <c r="AN84" s="39"/>
      <c r="AO84" s="39"/>
      <c r="AP84" s="28">
        <f t="shared" si="13"/>
        <v>0</v>
      </c>
      <c r="AQ84" s="39"/>
      <c r="AR84" s="39"/>
      <c r="AS84" s="39"/>
      <c r="AT84" s="28">
        <f t="shared" si="14"/>
        <v>0</v>
      </c>
      <c r="AU84" s="39"/>
      <c r="AV84" s="39"/>
      <c r="AW84" s="39"/>
      <c r="AX84" s="28">
        <f t="shared" si="15"/>
        <v>0</v>
      </c>
      <c r="AY84" s="39"/>
      <c r="AZ84" s="39"/>
      <c r="BA84" s="39"/>
      <c r="BB84" s="28">
        <f t="shared" si="16"/>
        <v>0</v>
      </c>
      <c r="BC84" s="39"/>
      <c r="BD84" s="39"/>
      <c r="BE84" s="39"/>
      <c r="BF84" s="28">
        <f t="shared" si="17"/>
        <v>0</v>
      </c>
      <c r="BG84" s="39"/>
      <c r="BH84" s="39"/>
      <c r="BI84" s="39"/>
      <c r="BJ84" s="28">
        <f t="shared" si="18"/>
        <v>0</v>
      </c>
    </row>
    <row r="85" spans="1:62" ht="12.75" hidden="1" customHeight="1" x14ac:dyDescent="0.2">
      <c r="A85" s="48">
        <v>950903</v>
      </c>
      <c r="B85" s="2">
        <v>47750</v>
      </c>
      <c r="D85" s="3" t="s">
        <v>95</v>
      </c>
      <c r="F85" s="26">
        <v>0</v>
      </c>
      <c r="G85" s="26"/>
      <c r="H85" s="26"/>
      <c r="I85" s="40"/>
      <c r="J85" s="26">
        <f t="shared" si="6"/>
        <v>0</v>
      </c>
      <c r="K85" s="27">
        <v>0</v>
      </c>
      <c r="L85" s="41"/>
      <c r="M85" s="41"/>
      <c r="N85" s="41"/>
      <c r="O85" s="41">
        <f t="shared" si="7"/>
        <v>0</v>
      </c>
      <c r="P85" s="28">
        <v>0</v>
      </c>
      <c r="Q85" s="39"/>
      <c r="R85" s="39"/>
      <c r="S85" s="39"/>
      <c r="T85" s="26">
        <v>0</v>
      </c>
      <c r="U85" s="26"/>
      <c r="V85" s="26"/>
      <c r="W85" s="40"/>
      <c r="X85" s="26">
        <f t="shared" si="8"/>
        <v>0</v>
      </c>
      <c r="Y85" s="27">
        <v>0</v>
      </c>
      <c r="Z85" s="41"/>
      <c r="AA85" s="41"/>
      <c r="AB85" s="41"/>
      <c r="AC85" s="41">
        <f t="shared" si="9"/>
        <v>0</v>
      </c>
      <c r="AD85" s="28">
        <f t="shared" si="10"/>
        <v>0</v>
      </c>
      <c r="AE85" s="39"/>
      <c r="AF85" s="39"/>
      <c r="AG85" s="39"/>
      <c r="AH85" s="28">
        <f t="shared" si="11"/>
        <v>0</v>
      </c>
      <c r="AI85" s="39"/>
      <c r="AJ85" s="39"/>
      <c r="AK85" s="39"/>
      <c r="AL85" s="28">
        <f t="shared" si="12"/>
        <v>0</v>
      </c>
      <c r="AM85" s="39"/>
      <c r="AN85" s="39"/>
      <c r="AO85" s="39"/>
      <c r="AP85" s="28">
        <f t="shared" si="13"/>
        <v>0</v>
      </c>
      <c r="AQ85" s="39"/>
      <c r="AR85" s="39"/>
      <c r="AS85" s="39"/>
      <c r="AT85" s="28">
        <f t="shared" si="14"/>
        <v>0</v>
      </c>
      <c r="AU85" s="39"/>
      <c r="AV85" s="39"/>
      <c r="AW85" s="39"/>
      <c r="AX85" s="28">
        <f t="shared" si="15"/>
        <v>0</v>
      </c>
      <c r="AY85" s="39"/>
      <c r="AZ85" s="39"/>
      <c r="BA85" s="39"/>
      <c r="BB85" s="28">
        <f t="shared" si="16"/>
        <v>0</v>
      </c>
      <c r="BC85" s="39"/>
      <c r="BD85" s="39"/>
      <c r="BE85" s="39"/>
      <c r="BF85" s="28">
        <f t="shared" si="17"/>
        <v>0</v>
      </c>
      <c r="BG85" s="39"/>
      <c r="BH85" s="39"/>
      <c r="BI85" s="39"/>
      <c r="BJ85" s="28">
        <f t="shared" si="18"/>
        <v>0</v>
      </c>
    </row>
    <row r="86" spans="1:62" ht="12.75" hidden="1" customHeight="1" x14ac:dyDescent="0.2">
      <c r="A86" s="48" t="s">
        <v>48</v>
      </c>
      <c r="B86" s="2">
        <v>47760</v>
      </c>
      <c r="D86" s="3" t="s">
        <v>95</v>
      </c>
      <c r="F86" s="26">
        <v>-2.3092638912203256E-14</v>
      </c>
      <c r="G86" s="26"/>
      <c r="H86" s="26"/>
      <c r="I86" s="40"/>
      <c r="J86" s="26">
        <f t="shared" si="6"/>
        <v>-2.3092638912203256E-14</v>
      </c>
      <c r="K86" s="27">
        <v>-2.3092638912203256E-14</v>
      </c>
      <c r="L86" s="41"/>
      <c r="M86" s="41"/>
      <c r="N86" s="41"/>
      <c r="O86" s="41">
        <f t="shared" si="7"/>
        <v>-2.3092638912203256E-14</v>
      </c>
      <c r="P86" s="28">
        <v>-2.3092638912203256E-14</v>
      </c>
      <c r="Q86" s="39"/>
      <c r="R86" s="39"/>
      <c r="S86" s="39"/>
      <c r="T86" s="26">
        <v>-2.3092638912203256E-14</v>
      </c>
      <c r="U86" s="26"/>
      <c r="V86" s="26"/>
      <c r="W86" s="40"/>
      <c r="X86" s="26">
        <f t="shared" si="8"/>
        <v>-2.3092638912203256E-14</v>
      </c>
      <c r="Y86" s="27">
        <v>-2.3092638912203256E-14</v>
      </c>
      <c r="Z86" s="41"/>
      <c r="AA86" s="41"/>
      <c r="AB86" s="41"/>
      <c r="AC86" s="41">
        <f t="shared" si="9"/>
        <v>-2.3092638912203256E-14</v>
      </c>
      <c r="AD86" s="28">
        <f t="shared" si="10"/>
        <v>-2.3092638912203256E-14</v>
      </c>
      <c r="AE86" s="39"/>
      <c r="AF86" s="39"/>
      <c r="AG86" s="39"/>
      <c r="AH86" s="28">
        <f t="shared" si="11"/>
        <v>-2.3092638912203256E-14</v>
      </c>
      <c r="AI86" s="39"/>
      <c r="AJ86" s="39"/>
      <c r="AK86" s="39"/>
      <c r="AL86" s="28">
        <f t="shared" si="12"/>
        <v>-2.3092638912203256E-14</v>
      </c>
      <c r="AM86" s="39"/>
      <c r="AN86" s="39"/>
      <c r="AO86" s="39"/>
      <c r="AP86" s="28">
        <f t="shared" si="13"/>
        <v>-2.3092638912203256E-14</v>
      </c>
      <c r="AQ86" s="39"/>
      <c r="AR86" s="39"/>
      <c r="AS86" s="39"/>
      <c r="AT86" s="28">
        <f t="shared" si="14"/>
        <v>-2.3092638912203256E-14</v>
      </c>
      <c r="AU86" s="39"/>
      <c r="AV86" s="39"/>
      <c r="AW86" s="39"/>
      <c r="AX86" s="28">
        <f t="shared" si="15"/>
        <v>-2.3092638912203256E-14</v>
      </c>
      <c r="AY86" s="39"/>
      <c r="AZ86" s="39"/>
      <c r="BA86" s="39"/>
      <c r="BB86" s="28">
        <f t="shared" si="16"/>
        <v>-2.3092638912203256E-14</v>
      </c>
      <c r="BC86" s="39"/>
      <c r="BD86" s="39"/>
      <c r="BE86" s="39"/>
      <c r="BF86" s="28">
        <f t="shared" si="17"/>
        <v>-2.3092638912203256E-14</v>
      </c>
      <c r="BG86" s="39"/>
      <c r="BH86" s="39"/>
      <c r="BI86" s="39"/>
      <c r="BJ86" s="28">
        <f t="shared" si="18"/>
        <v>-2.3092638912203256E-14</v>
      </c>
    </row>
    <row r="87" spans="1:62" ht="12.75" hidden="1" customHeight="1" x14ac:dyDescent="0.2">
      <c r="A87" s="48"/>
      <c r="B87" s="2">
        <v>47730</v>
      </c>
      <c r="C87" s="1" t="s">
        <v>70</v>
      </c>
      <c r="D87" s="3" t="s">
        <v>96</v>
      </c>
      <c r="F87" s="26">
        <v>0</v>
      </c>
      <c r="G87" s="26"/>
      <c r="H87" s="26"/>
      <c r="I87" s="40"/>
      <c r="J87" s="26">
        <f t="shared" si="6"/>
        <v>0</v>
      </c>
      <c r="K87" s="27">
        <v>0</v>
      </c>
      <c r="L87" s="41"/>
      <c r="M87" s="41"/>
      <c r="N87" s="41"/>
      <c r="O87" s="41">
        <f t="shared" si="7"/>
        <v>0</v>
      </c>
      <c r="P87" s="28">
        <v>0</v>
      </c>
      <c r="Q87" s="39"/>
      <c r="R87" s="39"/>
      <c r="S87" s="39"/>
      <c r="T87" s="26">
        <v>0</v>
      </c>
      <c r="U87" s="26"/>
      <c r="V87" s="26"/>
      <c r="W87" s="40"/>
      <c r="X87" s="26">
        <f t="shared" si="8"/>
        <v>0</v>
      </c>
      <c r="Y87" s="27">
        <v>0</v>
      </c>
      <c r="Z87" s="41"/>
      <c r="AA87" s="41"/>
      <c r="AB87" s="41"/>
      <c r="AC87" s="41">
        <f t="shared" si="9"/>
        <v>0</v>
      </c>
      <c r="AD87" s="28">
        <f t="shared" si="10"/>
        <v>0</v>
      </c>
      <c r="AE87" s="39"/>
      <c r="AF87" s="39"/>
      <c r="AG87" s="39"/>
      <c r="AH87" s="28">
        <f t="shared" si="11"/>
        <v>0</v>
      </c>
      <c r="AI87" s="39"/>
      <c r="AJ87" s="39"/>
      <c r="AK87" s="39"/>
      <c r="AL87" s="28">
        <f t="shared" si="12"/>
        <v>0</v>
      </c>
      <c r="AM87" s="39"/>
      <c r="AN87" s="39"/>
      <c r="AO87" s="39"/>
      <c r="AP87" s="28">
        <f t="shared" si="13"/>
        <v>0</v>
      </c>
      <c r="AQ87" s="39"/>
      <c r="AR87" s="39"/>
      <c r="AS87" s="39"/>
      <c r="AT87" s="28">
        <f t="shared" si="14"/>
        <v>0</v>
      </c>
      <c r="AU87" s="39"/>
      <c r="AV87" s="39"/>
      <c r="AW87" s="39"/>
      <c r="AX87" s="28">
        <f t="shared" si="15"/>
        <v>0</v>
      </c>
      <c r="AY87" s="39"/>
      <c r="AZ87" s="39"/>
      <c r="BA87" s="39"/>
      <c r="BB87" s="28">
        <f t="shared" si="16"/>
        <v>0</v>
      </c>
      <c r="BC87" s="39"/>
      <c r="BD87" s="39"/>
      <c r="BE87" s="39"/>
      <c r="BF87" s="28">
        <f t="shared" si="17"/>
        <v>0</v>
      </c>
      <c r="BG87" s="39"/>
      <c r="BH87" s="39"/>
      <c r="BI87" s="39"/>
      <c r="BJ87" s="28">
        <f t="shared" si="18"/>
        <v>0</v>
      </c>
    </row>
    <row r="88" spans="1:62" ht="12.75" hidden="1" customHeight="1" x14ac:dyDescent="0.2">
      <c r="A88" s="48"/>
      <c r="B88" s="2">
        <v>47725</v>
      </c>
      <c r="C88" s="1" t="s">
        <v>59</v>
      </c>
      <c r="D88" s="3" t="s">
        <v>60</v>
      </c>
      <c r="F88" s="26">
        <v>0</v>
      </c>
      <c r="G88" s="26"/>
      <c r="H88" s="26"/>
      <c r="I88" s="40"/>
      <c r="J88" s="26">
        <f t="shared" si="6"/>
        <v>0</v>
      </c>
      <c r="K88" s="27">
        <v>0</v>
      </c>
      <c r="L88" s="41"/>
      <c r="M88" s="41"/>
      <c r="N88" s="41"/>
      <c r="O88" s="41">
        <f t="shared" si="7"/>
        <v>0</v>
      </c>
      <c r="P88" s="28">
        <v>0</v>
      </c>
      <c r="Q88" s="39"/>
      <c r="R88" s="39"/>
      <c r="S88" s="39"/>
      <c r="T88" s="26">
        <v>0</v>
      </c>
      <c r="U88" s="26"/>
      <c r="V88" s="26"/>
      <c r="W88" s="40"/>
      <c r="X88" s="26">
        <f t="shared" si="8"/>
        <v>0</v>
      </c>
      <c r="Y88" s="27">
        <v>0</v>
      </c>
      <c r="Z88" s="41"/>
      <c r="AA88" s="41"/>
      <c r="AB88" s="41"/>
      <c r="AC88" s="41">
        <f t="shared" si="9"/>
        <v>0</v>
      </c>
      <c r="AD88" s="28">
        <f t="shared" si="10"/>
        <v>0</v>
      </c>
      <c r="AE88" s="39"/>
      <c r="AF88" s="39"/>
      <c r="AG88" s="39"/>
      <c r="AH88" s="28">
        <f t="shared" si="11"/>
        <v>0</v>
      </c>
      <c r="AI88" s="39"/>
      <c r="AJ88" s="39"/>
      <c r="AK88" s="39"/>
      <c r="AL88" s="28">
        <f t="shared" si="12"/>
        <v>0</v>
      </c>
      <c r="AM88" s="39"/>
      <c r="AN88" s="39"/>
      <c r="AO88" s="39"/>
      <c r="AP88" s="28">
        <f t="shared" si="13"/>
        <v>0</v>
      </c>
      <c r="AQ88" s="39"/>
      <c r="AR88" s="39"/>
      <c r="AS88" s="39"/>
      <c r="AT88" s="28">
        <f t="shared" si="14"/>
        <v>0</v>
      </c>
      <c r="AU88" s="39"/>
      <c r="AV88" s="39"/>
      <c r="AW88" s="39"/>
      <c r="AX88" s="28">
        <f t="shared" si="15"/>
        <v>0</v>
      </c>
      <c r="AY88" s="39"/>
      <c r="AZ88" s="39"/>
      <c r="BA88" s="39"/>
      <c r="BB88" s="28">
        <f t="shared" si="16"/>
        <v>0</v>
      </c>
      <c r="BC88" s="39"/>
      <c r="BD88" s="39"/>
      <c r="BE88" s="39"/>
      <c r="BF88" s="28">
        <f t="shared" si="17"/>
        <v>0</v>
      </c>
      <c r="BG88" s="39"/>
      <c r="BH88" s="39"/>
      <c r="BI88" s="39"/>
      <c r="BJ88" s="28">
        <f t="shared" si="18"/>
        <v>0</v>
      </c>
    </row>
    <row r="89" spans="1:62" ht="12.75" hidden="1" customHeight="1" x14ac:dyDescent="0.2">
      <c r="A89" s="48"/>
      <c r="B89" s="2">
        <v>47735</v>
      </c>
      <c r="C89" s="1" t="s">
        <v>97</v>
      </c>
      <c r="D89" s="3" t="s">
        <v>98</v>
      </c>
      <c r="F89" s="26">
        <v>-7.0000000000050022E-3</v>
      </c>
      <c r="G89" s="26"/>
      <c r="H89" s="26"/>
      <c r="I89" s="40"/>
      <c r="J89" s="26">
        <f t="shared" si="6"/>
        <v>-7.0000000000050022E-3</v>
      </c>
      <c r="K89" s="27">
        <v>-7.0000000000050022E-3</v>
      </c>
      <c r="L89" s="41"/>
      <c r="M89" s="41"/>
      <c r="N89" s="41"/>
      <c r="O89" s="41">
        <f t="shared" si="7"/>
        <v>-7.0000000000050022E-3</v>
      </c>
      <c r="P89" s="28">
        <v>-7.0000000000050022E-3</v>
      </c>
      <c r="Q89" s="39"/>
      <c r="R89" s="39"/>
      <c r="S89" s="39"/>
      <c r="T89" s="26">
        <v>-7.0000000000050022E-3</v>
      </c>
      <c r="U89" s="26"/>
      <c r="V89" s="26"/>
      <c r="W89" s="40"/>
      <c r="X89" s="26">
        <f t="shared" si="8"/>
        <v>-7.0000000000050022E-3</v>
      </c>
      <c r="Y89" s="27">
        <v>-7.0000000000050022E-3</v>
      </c>
      <c r="Z89" s="41"/>
      <c r="AA89" s="41"/>
      <c r="AB89" s="41"/>
      <c r="AC89" s="41">
        <f t="shared" si="9"/>
        <v>-7.0000000000050022E-3</v>
      </c>
      <c r="AD89" s="28">
        <f t="shared" si="10"/>
        <v>-7.0000000000050022E-3</v>
      </c>
      <c r="AE89" s="39"/>
      <c r="AF89" s="39"/>
      <c r="AG89" s="39"/>
      <c r="AH89" s="28">
        <f t="shared" si="11"/>
        <v>-7.0000000000050022E-3</v>
      </c>
      <c r="AI89" s="39"/>
      <c r="AJ89" s="39"/>
      <c r="AK89" s="39"/>
      <c r="AL89" s="28">
        <f t="shared" si="12"/>
        <v>-7.0000000000050022E-3</v>
      </c>
      <c r="AM89" s="39"/>
      <c r="AN89" s="39"/>
      <c r="AO89" s="39"/>
      <c r="AP89" s="28">
        <f t="shared" si="13"/>
        <v>-7.0000000000050022E-3</v>
      </c>
      <c r="AQ89" s="39"/>
      <c r="AR89" s="39"/>
      <c r="AS89" s="39"/>
      <c r="AT89" s="28">
        <f t="shared" si="14"/>
        <v>-7.0000000000050022E-3</v>
      </c>
      <c r="AU89" s="39"/>
      <c r="AV89" s="39"/>
      <c r="AW89" s="39"/>
      <c r="AX89" s="28">
        <f t="shared" si="15"/>
        <v>-7.0000000000050022E-3</v>
      </c>
      <c r="AY89" s="39"/>
      <c r="AZ89" s="39"/>
      <c r="BA89" s="39"/>
      <c r="BB89" s="28">
        <f t="shared" si="16"/>
        <v>-7.0000000000050022E-3</v>
      </c>
      <c r="BC89" s="39"/>
      <c r="BD89" s="39"/>
      <c r="BE89" s="39"/>
      <c r="BF89" s="28">
        <f t="shared" si="17"/>
        <v>-7.0000000000050022E-3</v>
      </c>
      <c r="BG89" s="39"/>
      <c r="BH89" s="39"/>
      <c r="BI89" s="39"/>
      <c r="BJ89" s="28">
        <f t="shared" si="18"/>
        <v>-7.0000000000050022E-3</v>
      </c>
    </row>
    <row r="90" spans="1:62" ht="12.75" customHeight="1" x14ac:dyDescent="0.2">
      <c r="A90" s="48"/>
      <c r="D90" s="3" t="s">
        <v>99</v>
      </c>
      <c r="F90" s="26"/>
      <c r="G90" s="26"/>
      <c r="H90" s="26"/>
      <c r="I90" s="40"/>
      <c r="J90" s="26"/>
      <c r="K90" s="27"/>
      <c r="L90" s="41"/>
      <c r="M90" s="41"/>
      <c r="N90" s="41"/>
      <c r="O90" s="41"/>
      <c r="P90" s="28"/>
      <c r="Q90" s="39"/>
      <c r="R90" s="39"/>
      <c r="S90" s="39"/>
      <c r="T90" s="26"/>
      <c r="U90" s="26">
        <v>2800</v>
      </c>
      <c r="V90" s="94">
        <f>-6483.25-85.317+23.403</f>
        <v>-6545.1639999999998</v>
      </c>
      <c r="W90" s="62">
        <f>1080.776+2027.064+575.41+85.317-23.403</f>
        <v>3745.1640000000002</v>
      </c>
      <c r="X90" s="26">
        <f t="shared" si="8"/>
        <v>0</v>
      </c>
      <c r="Y90" s="27"/>
      <c r="Z90" s="41"/>
      <c r="AA90" s="41"/>
      <c r="AB90" s="41"/>
      <c r="AC90" s="41"/>
      <c r="AD90" s="28">
        <v>0</v>
      </c>
      <c r="AE90" s="39">
        <f t="shared" ref="AE90:AG91" si="20">U90</f>
        <v>2800</v>
      </c>
      <c r="AF90" s="39">
        <f t="shared" si="20"/>
        <v>-6545.1639999999998</v>
      </c>
      <c r="AG90" s="39">
        <f t="shared" si="20"/>
        <v>3745.1640000000002</v>
      </c>
      <c r="AH90" s="28">
        <f>SUM(AD90:AG90)</f>
        <v>0</v>
      </c>
      <c r="AI90" s="39"/>
      <c r="AJ90" s="39"/>
      <c r="AK90" s="39"/>
      <c r="AL90" s="28">
        <f t="shared" si="12"/>
        <v>0</v>
      </c>
      <c r="AM90" s="39"/>
      <c r="AN90" s="39"/>
      <c r="AO90" s="39"/>
      <c r="AP90" s="28">
        <f t="shared" si="13"/>
        <v>0</v>
      </c>
      <c r="AQ90" s="39"/>
      <c r="AR90" s="39"/>
      <c r="AS90" s="39"/>
      <c r="AT90" s="28">
        <f t="shared" si="14"/>
        <v>0</v>
      </c>
      <c r="AU90" s="39"/>
      <c r="AV90" s="39"/>
      <c r="AW90" s="39"/>
      <c r="AX90" s="28">
        <f t="shared" si="15"/>
        <v>0</v>
      </c>
      <c r="AY90" s="39"/>
      <c r="AZ90" s="39"/>
      <c r="BA90" s="39"/>
      <c r="BB90" s="28">
        <f t="shared" si="16"/>
        <v>0</v>
      </c>
      <c r="BC90" s="39"/>
      <c r="BD90" s="39"/>
      <c r="BE90" s="39"/>
      <c r="BF90" s="28">
        <f t="shared" si="17"/>
        <v>0</v>
      </c>
      <c r="BG90" s="39"/>
      <c r="BH90" s="39"/>
      <c r="BI90" s="39"/>
      <c r="BJ90" s="28">
        <f t="shared" si="18"/>
        <v>0</v>
      </c>
    </row>
    <row r="91" spans="1:62" ht="12.75" customHeight="1" x14ac:dyDescent="0.2">
      <c r="A91" s="48"/>
      <c r="B91" s="2" t="s">
        <v>100</v>
      </c>
      <c r="C91" s="1" t="s">
        <v>101</v>
      </c>
      <c r="D91" s="3" t="s">
        <v>102</v>
      </c>
      <c r="E91" s="3" t="s">
        <v>103</v>
      </c>
      <c r="F91" s="26">
        <v>500</v>
      </c>
      <c r="G91" s="51">
        <v>500</v>
      </c>
      <c r="H91" s="51"/>
      <c r="I91" s="52">
        <f>-47+47</f>
        <v>0</v>
      </c>
      <c r="J91" s="26">
        <f>SUM(F91:I91)</f>
        <v>1000</v>
      </c>
      <c r="K91" s="27">
        <v>500</v>
      </c>
      <c r="L91" s="41"/>
      <c r="M91" s="41"/>
      <c r="N91" s="41">
        <f>-47+47</f>
        <v>0</v>
      </c>
      <c r="O91" s="41">
        <f>SUM(K91:N91)</f>
        <v>500</v>
      </c>
      <c r="P91" s="28">
        <v>500</v>
      </c>
      <c r="Q91" s="39"/>
      <c r="R91" s="39"/>
      <c r="S91" s="39">
        <v>-47</v>
      </c>
      <c r="T91" s="26">
        <v>1000</v>
      </c>
      <c r="U91" s="51"/>
      <c r="V91" s="51">
        <v>-378.59500000000003</v>
      </c>
      <c r="W91" s="52">
        <f>-125+300</f>
        <v>175</v>
      </c>
      <c r="X91" s="26">
        <f t="shared" si="8"/>
        <v>796.40499999999997</v>
      </c>
      <c r="Y91" s="27">
        <v>1000</v>
      </c>
      <c r="Z91" s="41"/>
      <c r="AA91" s="41"/>
      <c r="AB91" s="41"/>
      <c r="AC91" s="41">
        <f>SUM(Y91:AB91)</f>
        <v>1000</v>
      </c>
      <c r="AD91" s="28">
        <f>J91</f>
        <v>1000</v>
      </c>
      <c r="AE91" s="39">
        <f t="shared" si="20"/>
        <v>0</v>
      </c>
      <c r="AF91" s="39">
        <f t="shared" si="20"/>
        <v>-378.59500000000003</v>
      </c>
      <c r="AG91" s="39">
        <f t="shared" si="20"/>
        <v>175</v>
      </c>
      <c r="AH91" s="28">
        <f>SUM(AD91:AG91)</f>
        <v>796.40499999999997</v>
      </c>
      <c r="AI91" s="39"/>
      <c r="AK91" s="39"/>
      <c r="AL91" s="28">
        <f t="shared" si="12"/>
        <v>796.40499999999997</v>
      </c>
      <c r="AM91" s="39"/>
      <c r="AN91" s="5">
        <v>-250</v>
      </c>
      <c r="AO91" s="39"/>
      <c r="AP91" s="28">
        <f t="shared" si="13"/>
        <v>546.40499999999997</v>
      </c>
      <c r="AQ91" s="39"/>
      <c r="AR91" s="39">
        <v>-250</v>
      </c>
      <c r="AS91" s="39"/>
      <c r="AT91" s="28">
        <f t="shared" si="14"/>
        <v>296.40499999999997</v>
      </c>
      <c r="AU91" s="39"/>
      <c r="AV91" s="39"/>
      <c r="AW91" s="39"/>
      <c r="AX91" s="28">
        <f t="shared" si="15"/>
        <v>296.40499999999997</v>
      </c>
      <c r="AY91" s="39"/>
      <c r="AZ91" s="39"/>
      <c r="BA91" s="39"/>
      <c r="BB91" s="28">
        <f t="shared" si="16"/>
        <v>296.40499999999997</v>
      </c>
      <c r="BC91" s="39"/>
      <c r="BD91" s="39"/>
      <c r="BE91" s="39"/>
      <c r="BF91" s="28">
        <f t="shared" si="17"/>
        <v>296.40499999999997</v>
      </c>
      <c r="BG91" s="39"/>
      <c r="BH91" s="39"/>
      <c r="BI91" s="39"/>
      <c r="BJ91" s="28">
        <f t="shared" si="18"/>
        <v>296.40499999999997</v>
      </c>
    </row>
    <row r="92" spans="1:62" ht="12.75" hidden="1" customHeight="1" x14ac:dyDescent="0.2">
      <c r="A92" s="48"/>
      <c r="C92" s="1" t="s">
        <v>104</v>
      </c>
      <c r="D92" s="3" t="s">
        <v>105</v>
      </c>
      <c r="F92" s="26">
        <v>0</v>
      </c>
      <c r="G92" s="26"/>
      <c r="H92" s="26"/>
      <c r="I92" s="40"/>
      <c r="J92" s="26">
        <f>SUM(F92:I92)</f>
        <v>0</v>
      </c>
      <c r="K92" s="27">
        <v>0</v>
      </c>
      <c r="L92" s="41"/>
      <c r="M92" s="41"/>
      <c r="N92" s="41"/>
      <c r="O92" s="41">
        <f t="shared" si="7"/>
        <v>0</v>
      </c>
      <c r="P92" s="28">
        <v>0</v>
      </c>
      <c r="Q92" s="39"/>
      <c r="R92" s="39"/>
      <c r="S92" s="39"/>
      <c r="T92" s="26">
        <v>0</v>
      </c>
      <c r="U92" s="26"/>
      <c r="V92" s="26"/>
      <c r="W92" s="40"/>
      <c r="X92" s="26">
        <f>SUM(T92:W92)</f>
        <v>0</v>
      </c>
      <c r="Y92" s="27">
        <v>0</v>
      </c>
      <c r="Z92" s="41"/>
      <c r="AA92" s="41"/>
      <c r="AB92" s="41"/>
      <c r="AC92" s="41">
        <f t="shared" si="9"/>
        <v>0</v>
      </c>
      <c r="AD92" s="28">
        <f t="shared" si="10"/>
        <v>0</v>
      </c>
      <c r="AE92" s="39"/>
      <c r="AF92" s="39"/>
      <c r="AG92" s="39"/>
      <c r="AH92" s="28">
        <f t="shared" si="11"/>
        <v>0</v>
      </c>
      <c r="AI92" s="39"/>
      <c r="AJ92" s="39"/>
      <c r="AK92" s="39"/>
      <c r="AL92" s="28">
        <f t="shared" si="12"/>
        <v>0</v>
      </c>
      <c r="AM92" s="39"/>
      <c r="AN92" s="39"/>
      <c r="AO92" s="39"/>
      <c r="AP92" s="28">
        <f t="shared" si="13"/>
        <v>0</v>
      </c>
      <c r="AQ92" s="39"/>
      <c r="AR92" s="39"/>
      <c r="AS92" s="39"/>
      <c r="AT92" s="28">
        <f t="shared" si="14"/>
        <v>0</v>
      </c>
      <c r="AU92" s="39"/>
      <c r="AV92" s="39"/>
      <c r="AW92" s="39"/>
      <c r="AX92" s="28">
        <f t="shared" si="15"/>
        <v>0</v>
      </c>
      <c r="AY92" s="39"/>
      <c r="AZ92" s="39"/>
      <c r="BA92" s="39"/>
      <c r="BB92" s="28">
        <f t="shared" si="16"/>
        <v>0</v>
      </c>
      <c r="BC92" s="39"/>
      <c r="BD92" s="39"/>
      <c r="BE92" s="39"/>
      <c r="BF92" s="28">
        <f t="shared" si="17"/>
        <v>0</v>
      </c>
      <c r="BG92" s="39"/>
      <c r="BH92" s="39"/>
      <c r="BI92" s="39"/>
      <c r="BJ92" s="28">
        <f t="shared" si="18"/>
        <v>0</v>
      </c>
    </row>
    <row r="93" spans="1:62" ht="12.75" customHeight="1" thickBot="1" x14ac:dyDescent="0.25">
      <c r="A93" s="48"/>
      <c r="F93" s="26"/>
      <c r="G93" s="40"/>
      <c r="H93" s="40"/>
      <c r="I93" s="40"/>
      <c r="J93" s="26"/>
      <c r="K93" s="27"/>
      <c r="L93" s="41"/>
      <c r="M93" s="41"/>
      <c r="N93" s="41"/>
      <c r="O93" s="41"/>
      <c r="P93" s="28"/>
      <c r="Q93" s="39"/>
      <c r="R93" s="39"/>
      <c r="S93" s="39"/>
      <c r="T93" s="26"/>
      <c r="U93" s="40"/>
      <c r="V93" s="40"/>
      <c r="W93" s="40"/>
      <c r="X93" s="26"/>
      <c r="Y93" s="27"/>
      <c r="Z93" s="41"/>
      <c r="AA93" s="41"/>
      <c r="AB93" s="41"/>
      <c r="AC93" s="41"/>
      <c r="AD93" s="28"/>
      <c r="AE93" s="39"/>
      <c r="AF93" s="39"/>
      <c r="AG93" s="39"/>
      <c r="AH93" s="28"/>
      <c r="AI93" s="39"/>
      <c r="AJ93" s="39"/>
      <c r="AK93" s="39"/>
      <c r="AL93" s="28"/>
      <c r="AM93" s="39"/>
      <c r="AN93" s="39"/>
      <c r="AO93" s="39"/>
      <c r="AP93" s="28"/>
      <c r="AQ93" s="39"/>
      <c r="AR93" s="39"/>
      <c r="AS93" s="39"/>
      <c r="AT93" s="28"/>
      <c r="AU93" s="39"/>
      <c r="AV93" s="39"/>
      <c r="AW93" s="39"/>
      <c r="AX93" s="28"/>
      <c r="AY93" s="39"/>
      <c r="AZ93" s="39"/>
      <c r="BA93" s="39"/>
      <c r="BB93" s="28"/>
      <c r="BC93" s="39"/>
      <c r="BD93" s="39"/>
      <c r="BE93" s="39"/>
      <c r="BF93" s="28"/>
      <c r="BG93" s="39"/>
      <c r="BH93" s="39"/>
      <c r="BI93" s="39"/>
      <c r="BJ93" s="28"/>
    </row>
    <row r="94" spans="1:62" s="95" customFormat="1" ht="18" customHeight="1" thickBot="1" x14ac:dyDescent="0.3">
      <c r="A94" s="11"/>
      <c r="B94" s="12"/>
      <c r="C94" s="11"/>
      <c r="D94" s="11" t="s">
        <v>29</v>
      </c>
      <c r="E94" s="11"/>
      <c r="F94" s="42">
        <f t="shared" ref="F94:BJ94" si="21">SUM(F75:F93)</f>
        <v>2335.6902</v>
      </c>
      <c r="G94" s="42">
        <f t="shared" si="21"/>
        <v>2470.8330000000001</v>
      </c>
      <c r="H94" s="42">
        <f t="shared" si="21"/>
        <v>-518.77499999999998</v>
      </c>
      <c r="I94" s="42">
        <f t="shared" si="21"/>
        <v>397.55599999999998</v>
      </c>
      <c r="J94" s="42">
        <f t="shared" si="21"/>
        <v>4685.3042000000005</v>
      </c>
      <c r="K94" s="43">
        <f t="shared" si="21"/>
        <v>2335.6902</v>
      </c>
      <c r="L94" s="43">
        <f t="shared" si="21"/>
        <v>27.524999999999999</v>
      </c>
      <c r="M94" s="43">
        <f t="shared" si="21"/>
        <v>-870.07500000000005</v>
      </c>
      <c r="N94" s="43">
        <f t="shared" si="21"/>
        <v>397.55599999999998</v>
      </c>
      <c r="O94" s="43">
        <f t="shared" si="21"/>
        <v>1890.6961999999999</v>
      </c>
      <c r="P94" s="44">
        <f t="shared" si="21"/>
        <v>2335.6902</v>
      </c>
      <c r="Q94" s="45">
        <f t="shared" si="21"/>
        <v>1027.5250000000001</v>
      </c>
      <c r="R94" s="45">
        <f t="shared" si="21"/>
        <v>-686.77499999999998</v>
      </c>
      <c r="S94" s="45">
        <f t="shared" si="21"/>
        <v>361.5</v>
      </c>
      <c r="T94" s="42">
        <f t="shared" si="21"/>
        <v>4685.3042000000005</v>
      </c>
      <c r="U94" s="42">
        <f t="shared" si="21"/>
        <v>3143.2469999999998</v>
      </c>
      <c r="V94" s="42">
        <f t="shared" si="21"/>
        <v>-8739.8679999999986</v>
      </c>
      <c r="W94" s="42">
        <f t="shared" si="21"/>
        <v>2890.84</v>
      </c>
      <c r="X94" s="42">
        <f t="shared" si="21"/>
        <v>1979.5232000000001</v>
      </c>
      <c r="Y94" s="43">
        <f t="shared" si="21"/>
        <v>4685.3042000000005</v>
      </c>
      <c r="Z94" s="43">
        <f t="shared" si="21"/>
        <v>0</v>
      </c>
      <c r="AA94" s="43">
        <f t="shared" si="21"/>
        <v>-1232.453</v>
      </c>
      <c r="AB94" s="43">
        <f t="shared" si="21"/>
        <v>0</v>
      </c>
      <c r="AC94" s="43">
        <f t="shared" si="21"/>
        <v>3452.8511999999996</v>
      </c>
      <c r="AD94" s="44">
        <f t="shared" si="21"/>
        <v>4685.3042000000005</v>
      </c>
      <c r="AE94" s="45">
        <f t="shared" si="21"/>
        <v>3143.2469999999998</v>
      </c>
      <c r="AF94" s="45">
        <f t="shared" si="21"/>
        <v>-8739.8679999999986</v>
      </c>
      <c r="AG94" s="45">
        <f t="shared" si="21"/>
        <v>2890.84</v>
      </c>
      <c r="AH94" s="44">
        <f t="shared" si="21"/>
        <v>1979.5232000000001</v>
      </c>
      <c r="AI94" s="45">
        <f t="shared" si="21"/>
        <v>0</v>
      </c>
      <c r="AJ94" s="45">
        <f t="shared" si="21"/>
        <v>-178.96199999999999</v>
      </c>
      <c r="AK94" s="45">
        <f t="shared" si="21"/>
        <v>-125</v>
      </c>
      <c r="AL94" s="44">
        <f t="shared" si="21"/>
        <v>1675.5612000000001</v>
      </c>
      <c r="AM94" s="45">
        <f t="shared" si="21"/>
        <v>0</v>
      </c>
      <c r="AN94" s="45">
        <f t="shared" si="21"/>
        <v>-321.37099999999998</v>
      </c>
      <c r="AO94" s="45">
        <f t="shared" si="21"/>
        <v>-125</v>
      </c>
      <c r="AP94" s="44">
        <f t="shared" si="21"/>
        <v>1229.1902</v>
      </c>
      <c r="AQ94" s="45">
        <f t="shared" si="21"/>
        <v>0</v>
      </c>
      <c r="AR94" s="45">
        <f t="shared" si="21"/>
        <v>-250</v>
      </c>
      <c r="AS94" s="45">
        <f t="shared" si="21"/>
        <v>0</v>
      </c>
      <c r="AT94" s="44">
        <f t="shared" si="21"/>
        <v>979.1902</v>
      </c>
      <c r="AU94" s="45">
        <f t="shared" si="21"/>
        <v>0</v>
      </c>
      <c r="AV94" s="45">
        <f t="shared" si="21"/>
        <v>0</v>
      </c>
      <c r="AW94" s="45">
        <f t="shared" si="21"/>
        <v>0</v>
      </c>
      <c r="AX94" s="44">
        <f t="shared" si="21"/>
        <v>979.1902</v>
      </c>
      <c r="AY94" s="45">
        <f t="shared" si="21"/>
        <v>0</v>
      </c>
      <c r="AZ94" s="45">
        <f t="shared" si="21"/>
        <v>0</v>
      </c>
      <c r="BA94" s="45">
        <f t="shared" si="21"/>
        <v>0</v>
      </c>
      <c r="BB94" s="44">
        <f t="shared" si="21"/>
        <v>979.1902</v>
      </c>
      <c r="BC94" s="45">
        <f t="shared" si="21"/>
        <v>0</v>
      </c>
      <c r="BD94" s="45">
        <f t="shared" si="21"/>
        <v>0</v>
      </c>
      <c r="BE94" s="45">
        <f t="shared" si="21"/>
        <v>0</v>
      </c>
      <c r="BF94" s="44">
        <f t="shared" si="21"/>
        <v>979.1902</v>
      </c>
      <c r="BG94" s="45">
        <f t="shared" si="21"/>
        <v>0</v>
      </c>
      <c r="BH94" s="45">
        <f t="shared" si="21"/>
        <v>0</v>
      </c>
      <c r="BI94" s="45">
        <f t="shared" si="21"/>
        <v>0</v>
      </c>
      <c r="BJ94" s="44">
        <f t="shared" si="21"/>
        <v>979.1902</v>
      </c>
    </row>
    <row r="95" spans="1:62" ht="12.75" customHeight="1" thickTop="1" x14ac:dyDescent="0.25">
      <c r="D95" s="25"/>
      <c r="E95" s="25"/>
      <c r="F95" s="26"/>
      <c r="G95" s="26"/>
      <c r="H95" s="26"/>
      <c r="I95" s="26"/>
      <c r="J95" s="26"/>
      <c r="K95" s="27"/>
      <c r="L95" s="27"/>
      <c r="M95" s="27"/>
      <c r="N95" s="27"/>
      <c r="O95" s="27"/>
      <c r="P95" s="28"/>
      <c r="Q95" s="29"/>
      <c r="R95" s="29"/>
      <c r="S95" s="29"/>
      <c r="T95" s="26"/>
      <c r="U95" s="26"/>
      <c r="V95" s="26"/>
      <c r="W95" s="26"/>
      <c r="X95" s="26"/>
      <c r="Y95" s="27"/>
      <c r="Z95" s="27"/>
      <c r="AA95" s="27"/>
      <c r="AB95" s="27"/>
      <c r="AC95" s="27"/>
      <c r="AD95" s="28"/>
      <c r="AE95" s="29"/>
      <c r="AF95" s="29"/>
      <c r="AG95" s="29"/>
      <c r="AH95" s="28"/>
      <c r="AI95" s="29"/>
      <c r="AJ95" s="29"/>
      <c r="AK95" s="29"/>
      <c r="AL95" s="28"/>
      <c r="AM95" s="29"/>
      <c r="AN95" s="29"/>
      <c r="AO95" s="29"/>
      <c r="AP95" s="28"/>
      <c r="AQ95" s="29"/>
      <c r="AR95" s="29"/>
      <c r="AS95" s="29"/>
      <c r="AT95" s="28"/>
      <c r="AU95" s="29"/>
      <c r="AV95" s="29"/>
      <c r="AW95" s="29"/>
      <c r="AX95" s="28"/>
      <c r="AY95" s="29"/>
      <c r="AZ95" s="29"/>
      <c r="BA95" s="29"/>
      <c r="BB95" s="28"/>
      <c r="BC95" s="29"/>
      <c r="BD95" s="29"/>
      <c r="BE95" s="29"/>
      <c r="BF95" s="28"/>
      <c r="BG95" s="29"/>
      <c r="BH95" s="29"/>
      <c r="BI95" s="29"/>
      <c r="BJ95" s="28"/>
    </row>
    <row r="96" spans="1:62" ht="18" customHeight="1" x14ac:dyDescent="0.25">
      <c r="D96" s="25" t="s">
        <v>106</v>
      </c>
      <c r="E96" s="25"/>
      <c r="F96" s="26"/>
      <c r="G96" s="26"/>
      <c r="H96" s="26"/>
      <c r="I96" s="26"/>
      <c r="J96" s="26"/>
      <c r="K96" s="27"/>
      <c r="L96" s="27"/>
      <c r="M96" s="27"/>
      <c r="N96" s="27"/>
      <c r="O96" s="27"/>
      <c r="P96" s="28"/>
      <c r="Q96" s="29"/>
      <c r="R96" s="29"/>
      <c r="S96" s="29"/>
      <c r="T96" s="26"/>
      <c r="U96" s="26"/>
      <c r="V96" s="26"/>
      <c r="W96" s="26"/>
      <c r="X96" s="26"/>
      <c r="Y96" s="27"/>
      <c r="Z96" s="27"/>
      <c r="AA96" s="27"/>
      <c r="AB96" s="27"/>
      <c r="AC96" s="27"/>
      <c r="AD96" s="28"/>
      <c r="AE96" s="29"/>
      <c r="AF96" s="29"/>
      <c r="AG96" s="29"/>
      <c r="AH96" s="28"/>
      <c r="AI96" s="29"/>
      <c r="AJ96" s="29"/>
      <c r="AK96" s="29"/>
      <c r="AL96" s="28"/>
      <c r="AM96" s="29"/>
      <c r="AN96" s="29"/>
      <c r="AO96" s="29"/>
      <c r="AP96" s="28"/>
      <c r="AQ96" s="29"/>
      <c r="AR96" s="29"/>
      <c r="AS96" s="29"/>
      <c r="AT96" s="28"/>
      <c r="AU96" s="29"/>
      <c r="AV96" s="29"/>
      <c r="AW96" s="29"/>
      <c r="AX96" s="28"/>
      <c r="AY96" s="29"/>
      <c r="AZ96" s="29"/>
      <c r="BA96" s="29"/>
      <c r="BB96" s="28"/>
      <c r="BC96" s="29"/>
      <c r="BD96" s="29"/>
      <c r="BE96" s="29"/>
      <c r="BF96" s="28"/>
      <c r="BG96" s="29"/>
      <c r="BH96" s="29"/>
      <c r="BI96" s="29"/>
      <c r="BJ96" s="28"/>
    </row>
    <row r="97" spans="1:62" ht="18" customHeight="1" x14ac:dyDescent="0.25">
      <c r="D97" s="25"/>
      <c r="E97" s="25"/>
      <c r="F97" s="26"/>
      <c r="G97" s="26"/>
      <c r="H97" s="26"/>
      <c r="I97" s="26"/>
      <c r="J97" s="26"/>
      <c r="K97" s="27"/>
      <c r="L97" s="27"/>
      <c r="M97" s="27"/>
      <c r="N97" s="27"/>
      <c r="O97" s="27"/>
      <c r="P97" s="28"/>
      <c r="Q97" s="29"/>
      <c r="R97" s="29"/>
      <c r="S97" s="29"/>
      <c r="T97" s="26"/>
      <c r="U97" s="26"/>
      <c r="V97" s="26"/>
      <c r="W97" s="26"/>
      <c r="X97" s="26"/>
      <c r="Y97" s="27"/>
      <c r="Z97" s="27"/>
      <c r="AA97" s="27"/>
      <c r="AB97" s="27"/>
      <c r="AC97" s="27"/>
      <c r="AD97" s="28"/>
      <c r="AE97" s="29"/>
      <c r="AF97" s="29"/>
      <c r="AG97" s="29"/>
      <c r="AH97" s="28"/>
      <c r="AI97" s="29"/>
      <c r="AJ97" s="29"/>
      <c r="AK97" s="29"/>
      <c r="AL97" s="28"/>
      <c r="AM97" s="29"/>
      <c r="AN97" s="29"/>
      <c r="AO97" s="29"/>
      <c r="AP97" s="28"/>
      <c r="AQ97" s="29"/>
      <c r="AR97" s="29"/>
      <c r="AS97" s="29"/>
      <c r="AT97" s="28"/>
      <c r="AU97" s="29"/>
      <c r="AV97" s="29"/>
      <c r="AW97" s="29"/>
      <c r="AX97" s="28"/>
      <c r="AY97" s="29"/>
      <c r="AZ97" s="29"/>
      <c r="BA97" s="29"/>
      <c r="BB97" s="28"/>
      <c r="BC97" s="29"/>
      <c r="BD97" s="29"/>
      <c r="BE97" s="29"/>
      <c r="BF97" s="28"/>
      <c r="BG97" s="29"/>
      <c r="BH97" s="29"/>
      <c r="BI97" s="29"/>
      <c r="BJ97" s="28"/>
    </row>
    <row r="98" spans="1:62" ht="12.75" customHeight="1" x14ac:dyDescent="0.2">
      <c r="A98" s="48"/>
      <c r="B98" s="2" t="s">
        <v>107</v>
      </c>
      <c r="C98" s="1" t="s">
        <v>97</v>
      </c>
      <c r="D98" s="3" t="s">
        <v>108</v>
      </c>
      <c r="E98" s="3" t="s">
        <v>109</v>
      </c>
      <c r="F98" s="26">
        <v>41.67</v>
      </c>
      <c r="G98" s="51">
        <f>500+14.575+12.541+34.935+6.017</f>
        <v>568.06800000000021</v>
      </c>
      <c r="H98" s="51">
        <v>-19.689</v>
      </c>
      <c r="I98" s="52"/>
      <c r="J98" s="26">
        <f>SUM(F98:I98)</f>
        <v>590.04900000000021</v>
      </c>
      <c r="K98" s="27">
        <v>41.67</v>
      </c>
      <c r="L98" s="41">
        <v>500</v>
      </c>
      <c r="M98" s="41"/>
      <c r="N98" s="41"/>
      <c r="O98" s="41">
        <f>SUM(K98:N98)</f>
        <v>541.66999999999996</v>
      </c>
      <c r="P98" s="28">
        <v>41.67</v>
      </c>
      <c r="Q98" s="39">
        <v>500</v>
      </c>
      <c r="R98" s="39"/>
      <c r="S98" s="39"/>
      <c r="T98" s="26">
        <v>590.04900000000021</v>
      </c>
      <c r="U98" s="51"/>
      <c r="V98" s="51">
        <f>-21.355-10</f>
        <v>-31.355</v>
      </c>
      <c r="W98" s="52">
        <v>-90.05</v>
      </c>
      <c r="X98" s="26">
        <f>SUM(T98:W98)</f>
        <v>468.64400000000018</v>
      </c>
      <c r="Y98" s="27">
        <v>590.04900000000021</v>
      </c>
      <c r="Z98" s="41"/>
      <c r="AA98" s="41">
        <v>21.355</v>
      </c>
      <c r="AB98" s="41"/>
      <c r="AC98" s="41">
        <f>SUM(Y98:AB98)</f>
        <v>611.40400000000022</v>
      </c>
      <c r="AD98" s="28">
        <f>J98</f>
        <v>590.04900000000021</v>
      </c>
      <c r="AE98" s="39">
        <f>U98</f>
        <v>0</v>
      </c>
      <c r="AF98" s="39">
        <f t="shared" ref="AF98:AG101" si="22">V98</f>
        <v>-31.355</v>
      </c>
      <c r="AG98" s="39">
        <f t="shared" si="22"/>
        <v>-90.05</v>
      </c>
      <c r="AH98" s="28">
        <f>SUM(AD98:AG98)</f>
        <v>468.64400000000018</v>
      </c>
      <c r="AI98" s="39"/>
      <c r="AK98" s="39"/>
      <c r="AL98" s="28">
        <f>SUM(AH98:AK98)</f>
        <v>468.64400000000018</v>
      </c>
      <c r="AM98" s="39"/>
      <c r="AO98" s="39"/>
      <c r="AP98" s="28">
        <f>SUM(AL98:AO98)</f>
        <v>468.64400000000018</v>
      </c>
      <c r="AQ98" s="39"/>
      <c r="AR98" s="39"/>
      <c r="AS98" s="39"/>
      <c r="AT98" s="28">
        <f>SUM(AP98:AS98)</f>
        <v>468.64400000000018</v>
      </c>
      <c r="AU98" s="39"/>
      <c r="AV98" s="39"/>
      <c r="AW98" s="39"/>
      <c r="AX98" s="28">
        <f>SUM(AT98:AW98)</f>
        <v>468.64400000000018</v>
      </c>
      <c r="AY98" s="39"/>
      <c r="AZ98" s="39"/>
      <c r="BA98" s="39"/>
      <c r="BB98" s="28">
        <f>SUM(AX98:BA98)</f>
        <v>468.64400000000018</v>
      </c>
      <c r="BC98" s="39"/>
      <c r="BD98" s="39"/>
      <c r="BE98" s="39"/>
      <c r="BF98" s="28">
        <f>SUM(BB98:BE98)</f>
        <v>468.64400000000018</v>
      </c>
      <c r="BG98" s="39"/>
      <c r="BH98" s="39"/>
      <c r="BI98" s="39"/>
      <c r="BJ98" s="28">
        <f>SUM(BF98:BI98)</f>
        <v>468.64400000000018</v>
      </c>
    </row>
    <row r="99" spans="1:62" ht="12.75" customHeight="1" x14ac:dyDescent="0.2">
      <c r="A99" s="48"/>
      <c r="B99" s="2" t="s">
        <v>110</v>
      </c>
      <c r="C99" s="1" t="s">
        <v>84</v>
      </c>
      <c r="D99" s="3" t="s">
        <v>111</v>
      </c>
      <c r="E99" s="3" t="s">
        <v>112</v>
      </c>
      <c r="F99" s="26">
        <v>1.179</v>
      </c>
      <c r="G99" s="26"/>
      <c r="H99" s="26"/>
      <c r="I99" s="40"/>
      <c r="J99" s="26">
        <f>SUM(F99:I99)</f>
        <v>1.179</v>
      </c>
      <c r="K99" s="27">
        <v>1.179</v>
      </c>
      <c r="L99" s="41"/>
      <c r="M99" s="41"/>
      <c r="N99" s="41"/>
      <c r="O99" s="41">
        <f>SUM(K99:N99)</f>
        <v>1.179</v>
      </c>
      <c r="P99" s="28">
        <v>1.179</v>
      </c>
      <c r="Q99" s="39"/>
      <c r="R99" s="39"/>
      <c r="S99" s="39"/>
      <c r="T99" s="26">
        <v>1.179</v>
      </c>
      <c r="U99" s="26">
        <v>130.43600000000001</v>
      </c>
      <c r="V99" s="26"/>
      <c r="W99" s="40">
        <f>168+90.048</f>
        <v>258.048</v>
      </c>
      <c r="X99" s="26">
        <f>SUM(T99:W99)</f>
        <v>389.66300000000001</v>
      </c>
      <c r="Y99" s="27">
        <v>1.179</v>
      </c>
      <c r="Z99" s="41"/>
      <c r="AA99" s="41"/>
      <c r="AB99" s="41"/>
      <c r="AC99" s="41">
        <f>SUM(Y99:AB99)</f>
        <v>1.179</v>
      </c>
      <c r="AD99" s="28">
        <f>SUM(P99:S99)</f>
        <v>1.179</v>
      </c>
      <c r="AE99" s="39">
        <f>U99</f>
        <v>130.43600000000001</v>
      </c>
      <c r="AF99" s="39">
        <f t="shared" si="22"/>
        <v>0</v>
      </c>
      <c r="AG99" s="39">
        <f t="shared" si="22"/>
        <v>258.048</v>
      </c>
      <c r="AH99" s="28">
        <f>SUM(AD99:AG99)</f>
        <v>389.66300000000001</v>
      </c>
      <c r="AI99" s="39"/>
      <c r="AJ99" s="39"/>
      <c r="AK99" s="39"/>
      <c r="AL99" s="28">
        <f>SUM(AH99:AK99)</f>
        <v>389.66300000000001</v>
      </c>
      <c r="AM99" s="39"/>
      <c r="AO99" s="39"/>
      <c r="AP99" s="28">
        <f>SUM(AL99:AO99)</f>
        <v>389.66300000000001</v>
      </c>
      <c r="AQ99" s="39"/>
      <c r="AR99" s="39"/>
      <c r="AS99" s="39"/>
      <c r="AT99" s="28">
        <f>SUM(AP99:AS99)</f>
        <v>389.66300000000001</v>
      </c>
      <c r="AU99" s="39"/>
      <c r="AW99" s="39"/>
      <c r="AX99" s="28">
        <f>SUM(AT99:AW99)</f>
        <v>389.66300000000001</v>
      </c>
      <c r="AY99" s="39"/>
      <c r="BA99" s="39"/>
      <c r="BB99" s="28">
        <f>SUM(AX99:BA99)</f>
        <v>389.66300000000001</v>
      </c>
      <c r="BC99" s="39"/>
      <c r="BE99" s="39"/>
      <c r="BF99" s="28">
        <f>SUM(BB99:BE99)</f>
        <v>389.66300000000001</v>
      </c>
      <c r="BG99" s="39"/>
      <c r="BI99" s="39"/>
      <c r="BJ99" s="28">
        <f>SUM(BF99:BI99)</f>
        <v>389.66300000000001</v>
      </c>
    </row>
    <row r="100" spans="1:62" ht="12.75" customHeight="1" x14ac:dyDescent="0.2">
      <c r="A100" s="48"/>
      <c r="D100" s="3" t="s">
        <v>113</v>
      </c>
      <c r="E100" s="3" t="s">
        <v>114</v>
      </c>
      <c r="F100" s="26"/>
      <c r="G100" s="26"/>
      <c r="H100" s="26"/>
      <c r="I100" s="40"/>
      <c r="J100" s="26"/>
      <c r="K100" s="27"/>
      <c r="L100" s="41"/>
      <c r="M100" s="41"/>
      <c r="N100" s="41"/>
      <c r="O100" s="41"/>
      <c r="P100" s="28"/>
      <c r="Q100" s="39"/>
      <c r="R100" s="39"/>
      <c r="S100" s="39"/>
      <c r="T100" s="26"/>
      <c r="U100" s="94">
        <f>85+3.419</f>
        <v>88.418999999999997</v>
      </c>
      <c r="V100" s="94">
        <f>-23.909-18.986</f>
        <v>-42.894999999999996</v>
      </c>
      <c r="W100" s="40">
        <f>14+35</f>
        <v>49</v>
      </c>
      <c r="X100" s="26">
        <f>SUM(T100:W100)</f>
        <v>94.524000000000001</v>
      </c>
      <c r="Y100" s="27"/>
      <c r="Z100" s="41"/>
      <c r="AA100" s="41"/>
      <c r="AB100" s="41"/>
      <c r="AC100" s="41"/>
      <c r="AD100" s="28">
        <v>0</v>
      </c>
      <c r="AE100" s="39">
        <f>U100</f>
        <v>88.418999999999997</v>
      </c>
      <c r="AF100" s="39">
        <f t="shared" si="22"/>
        <v>-42.894999999999996</v>
      </c>
      <c r="AG100" s="39">
        <f t="shared" si="22"/>
        <v>49</v>
      </c>
      <c r="AH100" s="28">
        <f>SUM(AD100:AG100)</f>
        <v>94.524000000000001</v>
      </c>
      <c r="AI100" s="39"/>
      <c r="AK100" s="39"/>
      <c r="AL100" s="28">
        <f>SUM(AH100:AK100)</f>
        <v>94.524000000000001</v>
      </c>
      <c r="AM100" s="39"/>
      <c r="AO100" s="39"/>
      <c r="AP100" s="28">
        <f>SUM(AL100:AO100)</f>
        <v>94.524000000000001</v>
      </c>
      <c r="AQ100" s="39"/>
      <c r="AR100" s="39"/>
      <c r="AS100" s="39"/>
      <c r="AT100" s="28">
        <f>SUM(AP100:AS100)</f>
        <v>94.524000000000001</v>
      </c>
      <c r="AU100" s="39"/>
      <c r="AW100" s="39"/>
      <c r="AX100" s="28">
        <f>SUM(AT100:AW100)</f>
        <v>94.524000000000001</v>
      </c>
      <c r="AY100" s="39"/>
      <c r="AZ100" s="39"/>
      <c r="BA100" s="39"/>
      <c r="BB100" s="28">
        <f>SUM(AX100:BA100)</f>
        <v>94.524000000000001</v>
      </c>
      <c r="BC100" s="39"/>
      <c r="BD100" s="39"/>
      <c r="BE100" s="39"/>
      <c r="BF100" s="28">
        <f>SUM(BB100:BE100)</f>
        <v>94.524000000000001</v>
      </c>
      <c r="BG100" s="39"/>
      <c r="BH100" s="39"/>
      <c r="BI100" s="39"/>
      <c r="BJ100" s="28">
        <f>SUM(BF100:BI100)</f>
        <v>94.524000000000001</v>
      </c>
    </row>
    <row r="101" spans="1:62" ht="12.75" customHeight="1" x14ac:dyDescent="0.2">
      <c r="A101" s="48"/>
      <c r="B101" s="2">
        <v>47721</v>
      </c>
      <c r="C101" s="1" t="s">
        <v>115</v>
      </c>
      <c r="D101" s="3" t="s">
        <v>116</v>
      </c>
      <c r="F101" s="26">
        <v>0</v>
      </c>
      <c r="G101" s="51">
        <f>1390.5</f>
        <v>1390.5</v>
      </c>
      <c r="H101" s="51">
        <f>-5-27.948-84.905-87.386</f>
        <v>-205.239</v>
      </c>
      <c r="I101" s="52">
        <v>-5</v>
      </c>
      <c r="J101" s="26">
        <f>SUM(F101:I101)</f>
        <v>1180.261</v>
      </c>
      <c r="K101" s="27">
        <v>0</v>
      </c>
      <c r="L101" s="41">
        <f>1197.83+41.566-125+5.087+271.003</f>
        <v>1390.4859999999999</v>
      </c>
      <c r="M101" s="41"/>
      <c r="N101" s="41">
        <v>-5</v>
      </c>
      <c r="O101" s="41">
        <f>SUM(K101:N101)</f>
        <v>1385.4859999999999</v>
      </c>
      <c r="P101" s="28">
        <v>0</v>
      </c>
      <c r="Q101" s="39">
        <f>1197.83+41.566-125+5.087+271.003</f>
        <v>1390.4859999999999</v>
      </c>
      <c r="R101" s="39">
        <f>-27.948-84.905-5-250</f>
        <v>-367.85300000000001</v>
      </c>
      <c r="S101" s="39">
        <v>-5</v>
      </c>
      <c r="T101" s="26">
        <v>1180.261</v>
      </c>
      <c r="U101" s="52">
        <v>84.905000000000001</v>
      </c>
      <c r="V101" s="93">
        <f>-242.242-137.49-5</f>
        <v>-384.73199999999997</v>
      </c>
      <c r="X101" s="26">
        <f>SUM(T101:V101)</f>
        <v>880.43399999999997</v>
      </c>
      <c r="Y101" s="27">
        <v>1180.261</v>
      </c>
      <c r="Z101" s="41"/>
      <c r="AA101" s="41">
        <v>255</v>
      </c>
      <c r="AB101" s="41"/>
      <c r="AC101" s="41">
        <f>SUM(Y101:AB101)</f>
        <v>1435.261</v>
      </c>
      <c r="AD101" s="28">
        <f>J101</f>
        <v>1180.261</v>
      </c>
      <c r="AE101" s="39">
        <f>U101</f>
        <v>84.905000000000001</v>
      </c>
      <c r="AF101" s="39">
        <f t="shared" si="22"/>
        <v>-384.73199999999997</v>
      </c>
      <c r="AG101" s="39">
        <f t="shared" si="22"/>
        <v>0</v>
      </c>
      <c r="AH101" s="28">
        <f>SUM(AD101:AG101)</f>
        <v>880.43399999999997</v>
      </c>
      <c r="AI101" s="39"/>
      <c r="AJ101" s="39">
        <v>-250</v>
      </c>
      <c r="AK101" s="39"/>
      <c r="AL101" s="28">
        <f>SUM(AH101:AK101)</f>
        <v>630.43399999999997</v>
      </c>
      <c r="AM101" s="39"/>
      <c r="AN101" s="39">
        <v>-250</v>
      </c>
      <c r="AO101" s="39"/>
      <c r="AP101" s="28">
        <f>SUM(AL101:AO101)</f>
        <v>380.43399999999997</v>
      </c>
      <c r="AQ101" s="39"/>
      <c r="AR101" s="39">
        <v>-250</v>
      </c>
      <c r="AS101" s="39"/>
      <c r="AT101" s="28">
        <f>SUM(AP101:AS101)</f>
        <v>130.43399999999997</v>
      </c>
      <c r="AU101" s="39"/>
      <c r="AW101" s="39"/>
      <c r="AX101" s="28">
        <f>SUM(AT101:AW101)</f>
        <v>130.43399999999997</v>
      </c>
      <c r="AY101" s="39"/>
      <c r="AZ101" s="39"/>
      <c r="BA101" s="39"/>
      <c r="BB101" s="28">
        <f>SUM(AX101:BA101)</f>
        <v>130.43399999999997</v>
      </c>
      <c r="BC101" s="39"/>
      <c r="BD101" s="39"/>
      <c r="BE101" s="39"/>
      <c r="BF101" s="28">
        <f>SUM(BB101:BE101)</f>
        <v>130.43399999999997</v>
      </c>
      <c r="BG101" s="39"/>
      <c r="BH101" s="39"/>
      <c r="BI101" s="39"/>
      <c r="BJ101" s="28">
        <f>SUM(BF101:BI101)</f>
        <v>130.43399999999997</v>
      </c>
    </row>
    <row r="102" spans="1:62" ht="12.75" customHeight="1" thickBot="1" x14ac:dyDescent="0.3">
      <c r="D102" s="91"/>
      <c r="E102" s="91"/>
      <c r="F102" s="26"/>
      <c r="G102" s="26"/>
      <c r="H102" s="26"/>
      <c r="I102" s="26"/>
      <c r="J102" s="26"/>
      <c r="K102" s="27"/>
      <c r="L102" s="27"/>
      <c r="M102" s="27"/>
      <c r="N102" s="27"/>
      <c r="O102" s="27"/>
      <c r="P102" s="28"/>
      <c r="Q102" s="29"/>
      <c r="R102" s="29"/>
      <c r="S102" s="29"/>
      <c r="T102" s="26"/>
      <c r="U102" s="26"/>
      <c r="V102" s="26"/>
      <c r="W102" s="26"/>
      <c r="X102" s="26"/>
      <c r="Y102" s="27"/>
      <c r="Z102" s="27"/>
      <c r="AA102" s="27"/>
      <c r="AB102" s="27"/>
      <c r="AC102" s="27"/>
      <c r="AD102" s="28"/>
      <c r="AE102" s="29"/>
      <c r="AF102" s="29"/>
      <c r="AG102" s="29"/>
      <c r="AH102" s="28"/>
      <c r="AI102" s="29"/>
      <c r="AJ102" s="29"/>
      <c r="AK102" s="29"/>
      <c r="AL102" s="28"/>
      <c r="AM102" s="29"/>
      <c r="AN102" s="29"/>
      <c r="AO102" s="29"/>
      <c r="AP102" s="28"/>
      <c r="AQ102" s="29"/>
      <c r="AR102" s="29"/>
      <c r="AS102" s="29"/>
      <c r="AT102" s="28"/>
      <c r="AU102" s="29"/>
      <c r="AV102" s="29"/>
      <c r="AW102" s="29"/>
      <c r="AX102" s="28"/>
      <c r="AY102" s="29"/>
      <c r="AZ102" s="29"/>
      <c r="BA102" s="29"/>
      <c r="BB102" s="28"/>
      <c r="BC102" s="29"/>
      <c r="BD102" s="29"/>
      <c r="BE102" s="29"/>
      <c r="BF102" s="28"/>
      <c r="BG102" s="29"/>
      <c r="BH102" s="29"/>
      <c r="BI102" s="29"/>
      <c r="BJ102" s="28"/>
    </row>
    <row r="103" spans="1:62" s="95" customFormat="1" ht="18" customHeight="1" thickBot="1" x14ac:dyDescent="0.3">
      <c r="A103" s="11"/>
      <c r="B103" s="12"/>
      <c r="C103" s="11"/>
      <c r="D103" s="11" t="s">
        <v>29</v>
      </c>
      <c r="E103" s="11"/>
      <c r="F103" s="42">
        <f t="shared" ref="F103:BJ103" si="23">SUM(F97:F102)</f>
        <v>42.849000000000004</v>
      </c>
      <c r="G103" s="42">
        <f t="shared" si="23"/>
        <v>1958.5680000000002</v>
      </c>
      <c r="H103" s="42">
        <f t="shared" si="23"/>
        <v>-224.928</v>
      </c>
      <c r="I103" s="42">
        <f t="shared" si="23"/>
        <v>-5</v>
      </c>
      <c r="J103" s="42">
        <f t="shared" si="23"/>
        <v>1771.489</v>
      </c>
      <c r="K103" s="43">
        <f t="shared" si="23"/>
        <v>42.849000000000004</v>
      </c>
      <c r="L103" s="43">
        <f t="shared" si="23"/>
        <v>1890.4859999999999</v>
      </c>
      <c r="M103" s="43">
        <f t="shared" si="23"/>
        <v>0</v>
      </c>
      <c r="N103" s="43">
        <f t="shared" si="23"/>
        <v>-5</v>
      </c>
      <c r="O103" s="43">
        <f t="shared" si="23"/>
        <v>1928.3349999999998</v>
      </c>
      <c r="P103" s="44">
        <f t="shared" si="23"/>
        <v>42.849000000000004</v>
      </c>
      <c r="Q103" s="45">
        <f t="shared" si="23"/>
        <v>1890.4859999999999</v>
      </c>
      <c r="R103" s="45">
        <f t="shared" si="23"/>
        <v>-367.85300000000001</v>
      </c>
      <c r="S103" s="45">
        <f t="shared" si="23"/>
        <v>-5</v>
      </c>
      <c r="T103" s="42">
        <f t="shared" si="23"/>
        <v>1771.489</v>
      </c>
      <c r="U103" s="42">
        <f t="shared" si="23"/>
        <v>303.76</v>
      </c>
      <c r="V103" s="42">
        <f t="shared" si="23"/>
        <v>-458.98199999999997</v>
      </c>
      <c r="W103" s="42">
        <f t="shared" si="23"/>
        <v>216.99799999999999</v>
      </c>
      <c r="X103" s="42">
        <f t="shared" si="23"/>
        <v>1833.2650000000003</v>
      </c>
      <c r="Y103" s="43">
        <f t="shared" si="23"/>
        <v>1771.489</v>
      </c>
      <c r="Z103" s="43">
        <f t="shared" si="23"/>
        <v>0</v>
      </c>
      <c r="AA103" s="43">
        <f t="shared" si="23"/>
        <v>276.35500000000002</v>
      </c>
      <c r="AB103" s="43">
        <f t="shared" si="23"/>
        <v>0</v>
      </c>
      <c r="AC103" s="43">
        <f t="shared" si="23"/>
        <v>2047.8440000000001</v>
      </c>
      <c r="AD103" s="44">
        <f t="shared" si="23"/>
        <v>1771.489</v>
      </c>
      <c r="AE103" s="45">
        <f t="shared" si="23"/>
        <v>303.76</v>
      </c>
      <c r="AF103" s="45">
        <f t="shared" si="23"/>
        <v>-458.98199999999997</v>
      </c>
      <c r="AG103" s="45">
        <f t="shared" si="23"/>
        <v>216.99799999999999</v>
      </c>
      <c r="AH103" s="44">
        <f t="shared" si="23"/>
        <v>1833.2650000000003</v>
      </c>
      <c r="AI103" s="45">
        <f t="shared" si="23"/>
        <v>0</v>
      </c>
      <c r="AJ103" s="45">
        <f t="shared" si="23"/>
        <v>-250</v>
      </c>
      <c r="AK103" s="45">
        <f t="shared" si="23"/>
        <v>0</v>
      </c>
      <c r="AL103" s="44">
        <f t="shared" si="23"/>
        <v>1583.2650000000003</v>
      </c>
      <c r="AM103" s="45">
        <f t="shared" si="23"/>
        <v>0</v>
      </c>
      <c r="AN103" s="45">
        <f t="shared" si="23"/>
        <v>-250</v>
      </c>
      <c r="AO103" s="45">
        <f t="shared" si="23"/>
        <v>0</v>
      </c>
      <c r="AP103" s="44">
        <f t="shared" si="23"/>
        <v>1333.2650000000003</v>
      </c>
      <c r="AQ103" s="45">
        <f t="shared" si="23"/>
        <v>0</v>
      </c>
      <c r="AR103" s="45">
        <f t="shared" si="23"/>
        <v>-250</v>
      </c>
      <c r="AS103" s="45">
        <f t="shared" si="23"/>
        <v>0</v>
      </c>
      <c r="AT103" s="44">
        <f t="shared" si="23"/>
        <v>1083.2650000000003</v>
      </c>
      <c r="AU103" s="45">
        <f t="shared" si="23"/>
        <v>0</v>
      </c>
      <c r="AV103" s="45">
        <f t="shared" si="23"/>
        <v>0</v>
      </c>
      <c r="AW103" s="45">
        <f t="shared" si="23"/>
        <v>0</v>
      </c>
      <c r="AX103" s="44">
        <f t="shared" si="23"/>
        <v>1083.2650000000003</v>
      </c>
      <c r="AY103" s="45">
        <f t="shared" si="23"/>
        <v>0</v>
      </c>
      <c r="AZ103" s="45">
        <f t="shared" si="23"/>
        <v>0</v>
      </c>
      <c r="BA103" s="45">
        <f t="shared" si="23"/>
        <v>0</v>
      </c>
      <c r="BB103" s="44">
        <f t="shared" si="23"/>
        <v>1083.2650000000003</v>
      </c>
      <c r="BC103" s="45">
        <f t="shared" si="23"/>
        <v>0</v>
      </c>
      <c r="BD103" s="45">
        <f t="shared" si="23"/>
        <v>0</v>
      </c>
      <c r="BE103" s="45">
        <f t="shared" si="23"/>
        <v>0</v>
      </c>
      <c r="BF103" s="44">
        <f t="shared" si="23"/>
        <v>1083.2650000000003</v>
      </c>
      <c r="BG103" s="45">
        <f t="shared" si="23"/>
        <v>0</v>
      </c>
      <c r="BH103" s="45">
        <f t="shared" si="23"/>
        <v>0</v>
      </c>
      <c r="BI103" s="45">
        <f t="shared" si="23"/>
        <v>0</v>
      </c>
      <c r="BJ103" s="44">
        <f t="shared" si="23"/>
        <v>1083.2650000000003</v>
      </c>
    </row>
    <row r="104" spans="1:62" ht="12.75" customHeight="1" thickTop="1" thickBot="1" x14ac:dyDescent="0.3">
      <c r="D104" s="25"/>
      <c r="E104" s="25"/>
      <c r="F104" s="26"/>
      <c r="G104" s="26"/>
      <c r="H104" s="26"/>
      <c r="I104" s="26"/>
      <c r="J104" s="26"/>
      <c r="K104" s="27"/>
      <c r="L104" s="27"/>
      <c r="M104" s="27"/>
      <c r="N104" s="27"/>
      <c r="O104" s="27"/>
      <c r="P104" s="28"/>
      <c r="Q104" s="29"/>
      <c r="R104" s="29"/>
      <c r="S104" s="29"/>
      <c r="T104" s="26"/>
      <c r="U104" s="26"/>
      <c r="V104" s="26"/>
      <c r="W104" s="26"/>
      <c r="X104" s="26"/>
      <c r="Y104" s="27"/>
      <c r="Z104" s="27"/>
      <c r="AA104" s="27"/>
      <c r="AB104" s="27"/>
      <c r="AC104" s="27"/>
      <c r="AD104" s="28"/>
      <c r="AE104" s="29"/>
      <c r="AF104" s="29"/>
      <c r="AG104" s="29"/>
      <c r="AH104" s="28"/>
      <c r="AI104" s="29"/>
      <c r="AJ104" s="29"/>
      <c r="AK104" s="29"/>
      <c r="AL104" s="28"/>
      <c r="AM104" s="29"/>
      <c r="AN104" s="29"/>
      <c r="AO104" s="29"/>
      <c r="AP104" s="28"/>
      <c r="AQ104" s="29"/>
      <c r="AR104" s="29"/>
      <c r="AS104" s="29"/>
      <c r="AT104" s="28"/>
      <c r="AU104" s="29"/>
      <c r="AV104" s="29"/>
      <c r="AW104" s="29"/>
      <c r="AX104" s="28"/>
      <c r="AY104" s="29"/>
      <c r="AZ104" s="29"/>
      <c r="BA104" s="29"/>
      <c r="BB104" s="28"/>
      <c r="BC104" s="29"/>
      <c r="BD104" s="29"/>
      <c r="BE104" s="29"/>
      <c r="BF104" s="28"/>
      <c r="BG104" s="29"/>
      <c r="BH104" s="29"/>
      <c r="BI104" s="29"/>
      <c r="BJ104" s="28"/>
    </row>
    <row r="105" spans="1:62" s="95" customFormat="1" ht="33.75" customHeight="1" thickBot="1" x14ac:dyDescent="0.3">
      <c r="A105" s="11"/>
      <c r="B105" s="12"/>
      <c r="C105" s="11"/>
      <c r="D105" s="53" t="s">
        <v>117</v>
      </c>
      <c r="E105" s="53"/>
      <c r="F105" s="42">
        <f>F55+F94+F71</f>
        <v>23748.868200000001</v>
      </c>
      <c r="G105" s="42">
        <f>G55+G94+G71</f>
        <v>9787.6810000000005</v>
      </c>
      <c r="H105" s="42">
        <f>H55+H94+H71</f>
        <v>-2672.6469999999999</v>
      </c>
      <c r="I105" s="42">
        <f>I55+I94+I71</f>
        <v>4.9999999999999432</v>
      </c>
      <c r="J105" s="42">
        <f>J55+J94+J71</f>
        <v>30868.804199999999</v>
      </c>
      <c r="K105" s="43">
        <f>+K55+K94+K15+K71+K21</f>
        <v>34460.955200000004</v>
      </c>
      <c r="L105" s="43">
        <f>+L55+L94+L15+L71+L21</f>
        <v>4838.7249999999995</v>
      </c>
      <c r="M105" s="43">
        <f>+M55+M94+M15+M71+M21</f>
        <v>-6975.0749999999998</v>
      </c>
      <c r="N105" s="43">
        <f>+N55+N94+N15+N71+N21</f>
        <v>4.8169999999999789</v>
      </c>
      <c r="O105" s="43">
        <f>+O55+O94+O15+O71+O21</f>
        <v>32329.422199999997</v>
      </c>
      <c r="P105" s="44">
        <f>+P55+P94+P71</f>
        <v>23748.867200000001</v>
      </c>
      <c r="Q105" s="45">
        <f>+Q55+Q94+Q71</f>
        <v>5376.125</v>
      </c>
      <c r="R105" s="45">
        <f>+R55+R94+R71</f>
        <v>-10711.374999999998</v>
      </c>
      <c r="S105" s="45">
        <f>+S55+S94+S71</f>
        <v>5.0139999999999674</v>
      </c>
      <c r="T105" s="42">
        <f t="shared" ref="T105:BJ105" si="24">T55+T94+T71+T103</f>
        <v>32640.044200000004</v>
      </c>
      <c r="U105" s="42">
        <f t="shared" si="24"/>
        <v>5335.8069999999998</v>
      </c>
      <c r="V105" s="42">
        <f t="shared" si="24"/>
        <v>-15886.842999999999</v>
      </c>
      <c r="W105" s="42">
        <f t="shared" si="24"/>
        <v>21.377999999999588</v>
      </c>
      <c r="X105" s="42">
        <f t="shared" si="24"/>
        <v>22110.386199999997</v>
      </c>
      <c r="Y105" s="43">
        <f t="shared" si="24"/>
        <v>32640.189200000004</v>
      </c>
      <c r="Z105" s="43">
        <f t="shared" si="24"/>
        <v>142.56200000000001</v>
      </c>
      <c r="AA105" s="43">
        <f t="shared" si="24"/>
        <v>-956.09799999999996</v>
      </c>
      <c r="AB105" s="43">
        <f t="shared" si="24"/>
        <v>0</v>
      </c>
      <c r="AC105" s="43">
        <f t="shared" si="24"/>
        <v>31826.653200000004</v>
      </c>
      <c r="AD105" s="44">
        <f t="shared" si="24"/>
        <v>32640.044200000004</v>
      </c>
      <c r="AE105" s="45">
        <f t="shared" si="24"/>
        <v>5335.8069999999998</v>
      </c>
      <c r="AF105" s="45">
        <f t="shared" si="24"/>
        <v>-15886.842999999999</v>
      </c>
      <c r="AG105" s="45">
        <f t="shared" si="24"/>
        <v>21.377999999999588</v>
      </c>
      <c r="AH105" s="44">
        <f t="shared" si="24"/>
        <v>22110.573199999999</v>
      </c>
      <c r="AI105" s="45">
        <f t="shared" si="24"/>
        <v>6268.3590000000004</v>
      </c>
      <c r="AJ105" s="45">
        <f t="shared" si="24"/>
        <v>-14430.965</v>
      </c>
      <c r="AK105" s="45">
        <f t="shared" si="24"/>
        <v>-4.500000000007276E-2</v>
      </c>
      <c r="AL105" s="44">
        <f t="shared" si="24"/>
        <v>13947.922199999997</v>
      </c>
      <c r="AM105" s="45">
        <f t="shared" si="24"/>
        <v>4012.48</v>
      </c>
      <c r="AN105" s="45">
        <f t="shared" si="24"/>
        <v>-13715.279</v>
      </c>
      <c r="AO105" s="45">
        <f t="shared" si="24"/>
        <v>-4.5474735088646412E-13</v>
      </c>
      <c r="AP105" s="44">
        <f t="shared" si="24"/>
        <v>4245.1231999999982</v>
      </c>
      <c r="AQ105" s="45">
        <f t="shared" si="24"/>
        <v>4205.4310000000005</v>
      </c>
      <c r="AR105" s="45">
        <f t="shared" si="24"/>
        <v>-5445.1669999999995</v>
      </c>
      <c r="AS105" s="45">
        <f t="shared" si="24"/>
        <v>1.1368683772161603E-13</v>
      </c>
      <c r="AT105" s="44">
        <f t="shared" si="24"/>
        <v>3005.3871999999997</v>
      </c>
      <c r="AU105" s="45">
        <f t="shared" si="24"/>
        <v>4152.8040000000001</v>
      </c>
      <c r="AV105" s="45">
        <f t="shared" si="24"/>
        <v>-4715.2649999999994</v>
      </c>
      <c r="AW105" s="45">
        <f t="shared" si="24"/>
        <v>562.46100000000001</v>
      </c>
      <c r="AX105" s="44">
        <f t="shared" si="24"/>
        <v>3005.3871999999997</v>
      </c>
      <c r="AY105" s="45">
        <f t="shared" si="24"/>
        <v>4021.0780000000004</v>
      </c>
      <c r="AZ105" s="45">
        <f t="shared" si="24"/>
        <v>-3789.7689999999998</v>
      </c>
      <c r="BA105" s="45">
        <f t="shared" si="24"/>
        <v>4.2632564145606011E-14</v>
      </c>
      <c r="BB105" s="44">
        <f t="shared" si="24"/>
        <v>3236.6961999999985</v>
      </c>
      <c r="BC105" s="45">
        <f t="shared" si="24"/>
        <v>5399.4850000000006</v>
      </c>
      <c r="BD105" s="45">
        <f t="shared" si="24"/>
        <v>-5630.793999999999</v>
      </c>
      <c r="BE105" s="45">
        <f t="shared" si="24"/>
        <v>0</v>
      </c>
      <c r="BF105" s="44">
        <f t="shared" si="24"/>
        <v>3005.3871999999992</v>
      </c>
      <c r="BG105" s="45">
        <f t="shared" si="24"/>
        <v>4022.7379999999998</v>
      </c>
      <c r="BH105" s="45">
        <f t="shared" si="24"/>
        <v>-3012.2050000000004</v>
      </c>
      <c r="BI105" s="45">
        <f t="shared" si="24"/>
        <v>4.2632564145606011E-14</v>
      </c>
      <c r="BJ105" s="44">
        <f t="shared" si="24"/>
        <v>4015.9201999999982</v>
      </c>
    </row>
    <row r="106" spans="1:62" ht="12.75" customHeight="1" thickTop="1" thickBot="1" x14ac:dyDescent="0.25">
      <c r="F106" s="26"/>
      <c r="G106" s="26"/>
      <c r="H106" s="40"/>
      <c r="I106" s="40"/>
      <c r="J106" s="26"/>
      <c r="K106" s="27"/>
      <c r="L106" s="27"/>
      <c r="M106" s="41"/>
      <c r="N106" s="41"/>
      <c r="O106" s="41"/>
      <c r="P106" s="28"/>
      <c r="Q106" s="29"/>
      <c r="R106" s="39"/>
      <c r="S106" s="39"/>
      <c r="T106" s="26"/>
      <c r="U106" s="26"/>
      <c r="V106" s="40"/>
      <c r="W106" s="40"/>
      <c r="X106" s="26"/>
      <c r="Y106" s="27"/>
      <c r="Z106" s="27"/>
      <c r="AA106" s="41"/>
      <c r="AB106" s="41"/>
      <c r="AC106" s="41"/>
      <c r="AD106" s="28"/>
      <c r="AE106" s="29"/>
      <c r="AF106" s="39"/>
      <c r="AG106" s="39"/>
      <c r="AH106" s="28"/>
      <c r="AI106" s="29"/>
      <c r="AJ106" s="39"/>
      <c r="AK106" s="39"/>
      <c r="AL106" s="28"/>
      <c r="AM106" s="29"/>
      <c r="AN106" s="39"/>
      <c r="AO106" s="39"/>
      <c r="AP106" s="28"/>
      <c r="AQ106" s="29"/>
      <c r="AR106" s="39"/>
      <c r="AS106" s="39"/>
      <c r="AT106" s="28"/>
      <c r="AU106" s="29"/>
      <c r="AV106" s="39"/>
      <c r="AW106" s="39"/>
      <c r="AX106" s="28"/>
      <c r="AY106" s="29"/>
      <c r="AZ106" s="39"/>
      <c r="BA106" s="39"/>
      <c r="BB106" s="28"/>
      <c r="BC106" s="29"/>
      <c r="BD106" s="39"/>
      <c r="BE106" s="39"/>
      <c r="BF106" s="28"/>
      <c r="BG106" s="29"/>
      <c r="BH106" s="39"/>
      <c r="BI106" s="39"/>
      <c r="BJ106" s="28"/>
    </row>
    <row r="107" spans="1:62" ht="12.75" hidden="1" customHeight="1" x14ac:dyDescent="0.2">
      <c r="F107" s="26"/>
      <c r="G107" s="26"/>
      <c r="H107" s="40"/>
      <c r="I107" s="40"/>
      <c r="J107" s="26"/>
      <c r="K107" s="27"/>
      <c r="L107" s="27"/>
      <c r="M107" s="41"/>
      <c r="N107" s="41"/>
      <c r="O107" s="41"/>
      <c r="P107" s="28"/>
      <c r="Q107" s="29"/>
      <c r="R107" s="39"/>
      <c r="S107" s="39"/>
      <c r="T107" s="26"/>
      <c r="U107" s="26"/>
      <c r="V107" s="40"/>
      <c r="W107" s="40"/>
      <c r="X107" s="26"/>
      <c r="Y107" s="27"/>
      <c r="Z107" s="27"/>
      <c r="AA107" s="41"/>
      <c r="AB107" s="41"/>
      <c r="AC107" s="41"/>
      <c r="AD107" s="28"/>
      <c r="AE107" s="29"/>
      <c r="AF107" s="39"/>
      <c r="AG107" s="39"/>
      <c r="AH107" s="28"/>
      <c r="AI107" s="29"/>
      <c r="AJ107" s="39"/>
      <c r="AK107" s="39"/>
      <c r="AL107" s="28"/>
      <c r="AM107" s="29"/>
      <c r="AN107" s="39"/>
      <c r="AO107" s="39"/>
      <c r="AP107" s="28"/>
      <c r="AQ107" s="29"/>
      <c r="AR107" s="39"/>
      <c r="AS107" s="39"/>
      <c r="AT107" s="28"/>
      <c r="AU107" s="29"/>
      <c r="AV107" s="39"/>
      <c r="AW107" s="39"/>
      <c r="AX107" s="28"/>
      <c r="AY107" s="29"/>
      <c r="AZ107" s="39"/>
      <c r="BA107" s="39"/>
      <c r="BB107" s="28"/>
      <c r="BC107" s="29"/>
      <c r="BD107" s="39"/>
      <c r="BE107" s="39"/>
      <c r="BF107" s="28"/>
      <c r="BG107" s="29"/>
      <c r="BH107" s="39"/>
      <c r="BI107" s="39"/>
      <c r="BJ107" s="28"/>
    </row>
    <row r="108" spans="1:62" s="95" customFormat="1" ht="33.75" customHeight="1" thickBot="1" x14ac:dyDescent="0.3">
      <c r="A108" s="11"/>
      <c r="B108" s="12"/>
      <c r="C108" s="11"/>
      <c r="D108" s="53" t="s">
        <v>118</v>
      </c>
      <c r="E108" s="53"/>
      <c r="F108" s="42">
        <f t="shared" ref="F108:O108" si="25">+F31+F105</f>
        <v>34529.0092</v>
      </c>
      <c r="G108" s="42">
        <f t="shared" si="25"/>
        <v>10100.494340000001</v>
      </c>
      <c r="H108" s="42">
        <f t="shared" si="25"/>
        <v>-2806.14</v>
      </c>
      <c r="I108" s="42">
        <f t="shared" si="25"/>
        <v>4.9999999999999432</v>
      </c>
      <c r="J108" s="42">
        <f t="shared" si="25"/>
        <v>41828.26554</v>
      </c>
      <c r="K108" s="43">
        <f t="shared" si="25"/>
        <v>45241.096200000007</v>
      </c>
      <c r="L108" s="43">
        <f t="shared" si="25"/>
        <v>5242.8249999999998</v>
      </c>
      <c r="M108" s="43">
        <f t="shared" si="25"/>
        <v>-6975.0749999999998</v>
      </c>
      <c r="N108" s="43">
        <f t="shared" si="25"/>
        <v>4.8169999999999789</v>
      </c>
      <c r="O108" s="43">
        <f t="shared" si="25"/>
        <v>43513.663199999995</v>
      </c>
      <c r="P108" s="44">
        <f>P31+P105</f>
        <v>34529.008200000004</v>
      </c>
      <c r="Q108" s="45">
        <f>Q31+Q105</f>
        <v>5780.2250000000004</v>
      </c>
      <c r="R108" s="45">
        <f>R31+R105</f>
        <v>-10711.374999999998</v>
      </c>
      <c r="S108" s="45">
        <f>S31+S105</f>
        <v>5.0139999999999674</v>
      </c>
      <c r="T108" s="42">
        <f t="shared" ref="T108:AC108" si="26">+T31+T105</f>
        <v>43599.505540000006</v>
      </c>
      <c r="U108" s="42">
        <f t="shared" si="26"/>
        <v>5422.3130000000001</v>
      </c>
      <c r="V108" s="42">
        <f t="shared" si="26"/>
        <v>-16661.669999999998</v>
      </c>
      <c r="W108" s="42">
        <f t="shared" si="26"/>
        <v>-2.0000000004145591E-3</v>
      </c>
      <c r="X108" s="42">
        <f t="shared" si="26"/>
        <v>32360.146539999994</v>
      </c>
      <c r="Y108" s="43">
        <f t="shared" si="26"/>
        <v>43599.650540000002</v>
      </c>
      <c r="Z108" s="43">
        <f t="shared" si="26"/>
        <v>142.56200000000001</v>
      </c>
      <c r="AA108" s="43">
        <f t="shared" si="26"/>
        <v>-956.09799999999996</v>
      </c>
      <c r="AB108" s="43">
        <f t="shared" si="26"/>
        <v>0</v>
      </c>
      <c r="AC108" s="43">
        <f t="shared" si="26"/>
        <v>42786.114540000002</v>
      </c>
      <c r="AD108" s="44">
        <f t="shared" ref="AD108:BJ108" si="27">AD31+AD105</f>
        <v>43599.505540000006</v>
      </c>
      <c r="AE108" s="45">
        <f t="shared" si="27"/>
        <v>5422.3130000000001</v>
      </c>
      <c r="AF108" s="45">
        <f t="shared" si="27"/>
        <v>-16661.669999999998</v>
      </c>
      <c r="AG108" s="45">
        <f t="shared" si="27"/>
        <v>-2.0000000004145591E-3</v>
      </c>
      <c r="AH108" s="44">
        <f t="shared" si="27"/>
        <v>32360.33354</v>
      </c>
      <c r="AI108" s="45">
        <f t="shared" si="27"/>
        <v>6268.3590000000004</v>
      </c>
      <c r="AJ108" s="45">
        <f t="shared" si="27"/>
        <v>-14430.965</v>
      </c>
      <c r="AK108" s="45">
        <f t="shared" si="27"/>
        <v>-4.500000000007276E-2</v>
      </c>
      <c r="AL108" s="44">
        <f t="shared" si="27"/>
        <v>24197.682539999994</v>
      </c>
      <c r="AM108" s="45">
        <f t="shared" si="27"/>
        <v>4012.48</v>
      </c>
      <c r="AN108" s="45">
        <f t="shared" si="27"/>
        <v>-13715.279</v>
      </c>
      <c r="AO108" s="45">
        <f t="shared" si="27"/>
        <v>-4.5474735088646412E-13</v>
      </c>
      <c r="AP108" s="44">
        <f t="shared" si="27"/>
        <v>14494.883539999997</v>
      </c>
      <c r="AQ108" s="45">
        <f t="shared" si="27"/>
        <v>4205.4310000000005</v>
      </c>
      <c r="AR108" s="45">
        <f t="shared" si="27"/>
        <v>-6109.1989999999996</v>
      </c>
      <c r="AS108" s="45">
        <f t="shared" si="27"/>
        <v>1.1368683772161603E-13</v>
      </c>
      <c r="AT108" s="44">
        <f t="shared" si="27"/>
        <v>12591.115539999999</v>
      </c>
      <c r="AU108" s="45">
        <f t="shared" si="27"/>
        <v>4152.8040000000001</v>
      </c>
      <c r="AV108" s="45">
        <f t="shared" si="27"/>
        <v>-5260.9779999999992</v>
      </c>
      <c r="AW108" s="45">
        <f t="shared" si="27"/>
        <v>0</v>
      </c>
      <c r="AX108" s="44">
        <f t="shared" si="27"/>
        <v>11482.94154</v>
      </c>
      <c r="AY108" s="45">
        <f t="shared" si="27"/>
        <v>4021.0780000000004</v>
      </c>
      <c r="AZ108" s="45">
        <f t="shared" si="27"/>
        <v>-4157.9759999999997</v>
      </c>
      <c r="BA108" s="45">
        <f t="shared" si="27"/>
        <v>4.2632564145606011E-14</v>
      </c>
      <c r="BB108" s="44">
        <f t="shared" si="27"/>
        <v>11346.043539999999</v>
      </c>
      <c r="BC108" s="45">
        <f t="shared" si="27"/>
        <v>5399.4850000000006</v>
      </c>
      <c r="BD108" s="45">
        <f t="shared" si="27"/>
        <v>-5630.793999999999</v>
      </c>
      <c r="BE108" s="45">
        <f t="shared" si="27"/>
        <v>0</v>
      </c>
      <c r="BF108" s="44">
        <f t="shared" si="27"/>
        <v>11114.734540000001</v>
      </c>
      <c r="BG108" s="45">
        <f t="shared" si="27"/>
        <v>4022.7379999999998</v>
      </c>
      <c r="BH108" s="45">
        <f t="shared" si="27"/>
        <v>-3012.2050000000004</v>
      </c>
      <c r="BI108" s="45">
        <f t="shared" si="27"/>
        <v>4.2632564145606011E-14</v>
      </c>
      <c r="BJ108" s="44">
        <f t="shared" si="27"/>
        <v>12125.267539999999</v>
      </c>
    </row>
    <row r="109" spans="1:62" ht="12.75" customHeight="1" thickTop="1" x14ac:dyDescent="0.2">
      <c r="F109" s="26"/>
      <c r="G109" s="26"/>
      <c r="H109" s="40"/>
      <c r="I109" s="40"/>
      <c r="J109" s="26"/>
      <c r="K109" s="27"/>
      <c r="L109" s="27"/>
      <c r="M109" s="41"/>
      <c r="N109" s="41"/>
      <c r="O109" s="41"/>
      <c r="P109" s="28"/>
      <c r="Q109" s="29"/>
      <c r="R109" s="39"/>
      <c r="S109" s="39"/>
      <c r="T109" s="26"/>
      <c r="U109" s="26"/>
      <c r="V109" s="40"/>
      <c r="W109" s="40"/>
      <c r="X109" s="26"/>
      <c r="Y109" s="27"/>
      <c r="Z109" s="27"/>
      <c r="AA109" s="41"/>
      <c r="AB109" s="41"/>
      <c r="AC109" s="41"/>
      <c r="AD109" s="28"/>
      <c r="AE109" s="29"/>
      <c r="AF109" s="39"/>
      <c r="AG109" s="39"/>
      <c r="AH109" s="28"/>
      <c r="AI109" s="29"/>
      <c r="AJ109" s="39"/>
      <c r="AK109" s="39"/>
      <c r="AL109" s="28"/>
      <c r="AM109" s="29"/>
      <c r="AN109" s="39"/>
      <c r="AO109" s="39"/>
      <c r="AP109" s="28"/>
      <c r="AQ109" s="29"/>
      <c r="AR109" s="39"/>
      <c r="AS109" s="39"/>
      <c r="AT109" s="28"/>
      <c r="AU109" s="29"/>
      <c r="AV109" s="39"/>
      <c r="AW109" s="39"/>
      <c r="AX109" s="28"/>
      <c r="AY109" s="29"/>
      <c r="AZ109" s="39"/>
      <c r="BA109" s="39"/>
      <c r="BB109" s="28"/>
      <c r="BC109" s="29"/>
      <c r="BD109" s="39"/>
      <c r="BE109" s="39"/>
      <c r="BF109" s="28"/>
      <c r="BG109" s="29"/>
      <c r="BH109" s="39"/>
      <c r="BI109" s="39"/>
      <c r="BJ109" s="28"/>
    </row>
    <row r="110" spans="1:62" s="99" customFormat="1" ht="18.75" customHeight="1" thickBot="1" x14ac:dyDescent="0.3">
      <c r="A110" s="96">
        <v>800510</v>
      </c>
      <c r="B110" s="97">
        <v>47200</v>
      </c>
      <c r="C110" s="66" t="s">
        <v>119</v>
      </c>
      <c r="D110" s="98" t="s">
        <v>120</v>
      </c>
      <c r="F110" s="100">
        <v>0</v>
      </c>
      <c r="G110" s="101"/>
      <c r="H110" s="101"/>
      <c r="I110" s="101"/>
      <c r="J110" s="100">
        <f>SUM(F110:I110)</f>
        <v>0</v>
      </c>
      <c r="K110" s="102">
        <v>0</v>
      </c>
      <c r="L110" s="103">
        <v>3440.3</v>
      </c>
      <c r="M110" s="103">
        <v>-3440.3</v>
      </c>
      <c r="N110" s="103"/>
      <c r="O110" s="103">
        <f>SUM(K110:N110)</f>
        <v>0</v>
      </c>
      <c r="P110" s="104">
        <v>0</v>
      </c>
      <c r="Q110" s="105">
        <v>3440.3</v>
      </c>
      <c r="R110" s="105">
        <v>-3440.3</v>
      </c>
      <c r="S110" s="105"/>
      <c r="T110" s="100">
        <v>0</v>
      </c>
      <c r="U110" s="101">
        <f>376.7+58.311</f>
        <v>435.01099999999997</v>
      </c>
      <c r="V110" s="101">
        <v>-435.01099999999997</v>
      </c>
      <c r="W110" s="101"/>
      <c r="X110" s="100">
        <f>SUM(T110:W110)</f>
        <v>0</v>
      </c>
      <c r="Y110" s="102">
        <v>0</v>
      </c>
      <c r="Z110" s="103"/>
      <c r="AA110" s="103"/>
      <c r="AB110" s="103"/>
      <c r="AC110" s="103">
        <f>SUM(Y110:AB110)</f>
        <v>0</v>
      </c>
      <c r="AD110" s="106">
        <f>SUM(P110:S110)</f>
        <v>0</v>
      </c>
      <c r="AE110" s="107">
        <f>U110</f>
        <v>435.01099999999997</v>
      </c>
      <c r="AF110" s="107">
        <f>V110</f>
        <v>-435.01099999999997</v>
      </c>
      <c r="AG110" s="107">
        <f>W110</f>
        <v>0</v>
      </c>
      <c r="AH110" s="108">
        <f>SUM(AD110:AG110)</f>
        <v>0</v>
      </c>
      <c r="AI110" s="109">
        <v>1038.68</v>
      </c>
      <c r="AJ110" s="109">
        <v>-1038.68</v>
      </c>
      <c r="AK110" s="109"/>
      <c r="AL110" s="108">
        <f>SUM(AH110:AK110)</f>
        <v>0</v>
      </c>
      <c r="AM110" s="109">
        <v>4425.09</v>
      </c>
      <c r="AN110" s="109">
        <v>-4425.09</v>
      </c>
      <c r="AO110" s="109"/>
      <c r="AP110" s="108">
        <f>SUM(AL110:AO110)</f>
        <v>0</v>
      </c>
      <c r="AQ110" s="109">
        <v>3205</v>
      </c>
      <c r="AR110" s="109">
        <f>-416.5-600+2.3-4.5</f>
        <v>-1018.7</v>
      </c>
      <c r="AS110" s="109"/>
      <c r="AT110" s="108">
        <f>SUM(AP110:AS110)</f>
        <v>2186.3000000000002</v>
      </c>
      <c r="AU110" s="109">
        <v>2090.1799999999998</v>
      </c>
      <c r="AV110" s="109">
        <f>-33.2-640.862</f>
        <v>-674.06200000000001</v>
      </c>
      <c r="AW110" s="109"/>
      <c r="AX110" s="108">
        <f>SUM(AT110:AW110)</f>
        <v>3602.4179999999997</v>
      </c>
      <c r="AY110" s="109"/>
      <c r="AZ110" s="109"/>
      <c r="BA110" s="109"/>
      <c r="BB110" s="108">
        <f>SUM(AX110:BA110)</f>
        <v>3602.4179999999997</v>
      </c>
      <c r="BC110" s="109">
        <v>1634.3630000000001</v>
      </c>
      <c r="BD110" s="109">
        <f>-133.188+100+2.3-0.007</f>
        <v>-30.894999999999989</v>
      </c>
      <c r="BE110" s="109"/>
      <c r="BF110" s="108">
        <f>SUM(BB110:BE110)</f>
        <v>5205.8859999999995</v>
      </c>
      <c r="BG110" s="109"/>
      <c r="BH110" s="109"/>
      <c r="BI110" s="109"/>
      <c r="BJ110" s="108">
        <f>SUM(BF110:BI110)</f>
        <v>5205.8859999999995</v>
      </c>
    </row>
    <row r="111" spans="1:62" s="55" customFormat="1" ht="12.75" customHeight="1" thickTop="1" thickBot="1" x14ac:dyDescent="0.25">
      <c r="A111" s="54"/>
      <c r="B111" s="2"/>
      <c r="C111" s="54"/>
      <c r="F111" s="56"/>
      <c r="G111" s="57"/>
      <c r="H111" s="57"/>
      <c r="I111" s="57"/>
      <c r="J111" s="56"/>
      <c r="K111" s="58"/>
      <c r="L111" s="59"/>
      <c r="M111" s="59"/>
      <c r="N111" s="59"/>
      <c r="O111" s="59"/>
      <c r="P111" s="60"/>
      <c r="Q111" s="61"/>
      <c r="R111" s="61"/>
      <c r="S111" s="61"/>
      <c r="T111" s="56"/>
      <c r="U111" s="57"/>
      <c r="V111" s="57"/>
      <c r="W111" s="57"/>
      <c r="X111" s="56"/>
      <c r="Y111" s="58"/>
      <c r="Z111" s="59"/>
      <c r="AA111" s="59"/>
      <c r="AB111" s="59"/>
      <c r="AC111" s="59"/>
      <c r="AD111" s="60"/>
      <c r="AE111" s="29"/>
      <c r="AF111" s="29"/>
      <c r="AG111" s="29"/>
      <c r="AH111" s="63"/>
      <c r="AI111" s="29"/>
      <c r="AJ111" s="29"/>
      <c r="AK111" s="29"/>
      <c r="AL111" s="63"/>
      <c r="AM111" s="29"/>
      <c r="AN111" s="29"/>
      <c r="AO111" s="29"/>
      <c r="AP111" s="63"/>
      <c r="AQ111" s="29"/>
      <c r="AR111" s="29"/>
      <c r="AS111" s="29"/>
      <c r="AT111" s="63"/>
      <c r="AU111" s="29"/>
      <c r="AV111" s="29"/>
      <c r="AW111" s="29"/>
      <c r="AX111" s="63"/>
      <c r="AY111" s="29"/>
      <c r="AZ111" s="29"/>
      <c r="BA111" s="29"/>
      <c r="BB111" s="63"/>
      <c r="BC111" s="29"/>
      <c r="BD111" s="29"/>
      <c r="BE111" s="29"/>
      <c r="BF111" s="63"/>
      <c r="BG111" s="29"/>
      <c r="BH111" s="29"/>
      <c r="BI111" s="29"/>
      <c r="BJ111" s="63"/>
    </row>
    <row r="112" spans="1:62" s="95" customFormat="1" ht="33.75" customHeight="1" thickBot="1" x14ac:dyDescent="0.3">
      <c r="A112" s="11"/>
      <c r="B112" s="12"/>
      <c r="C112" s="11"/>
      <c r="D112" s="53" t="s">
        <v>121</v>
      </c>
      <c r="E112" s="53"/>
      <c r="F112" s="42">
        <f t="shared" ref="F112:O112" si="28">+F35+F109</f>
        <v>0</v>
      </c>
      <c r="G112" s="42">
        <f t="shared" si="28"/>
        <v>995.4</v>
      </c>
      <c r="H112" s="42">
        <f t="shared" si="28"/>
        <v>-995.4</v>
      </c>
      <c r="I112" s="42">
        <f t="shared" si="28"/>
        <v>0</v>
      </c>
      <c r="J112" s="42">
        <f t="shared" si="28"/>
        <v>0</v>
      </c>
      <c r="K112" s="43">
        <f t="shared" si="28"/>
        <v>0</v>
      </c>
      <c r="L112" s="43">
        <f t="shared" si="28"/>
        <v>995.4</v>
      </c>
      <c r="M112" s="43">
        <f t="shared" si="28"/>
        <v>-995.4</v>
      </c>
      <c r="N112" s="43">
        <f t="shared" si="28"/>
        <v>0</v>
      </c>
      <c r="O112" s="43">
        <f t="shared" si="28"/>
        <v>0</v>
      </c>
      <c r="P112" s="44">
        <f>P35+P109</f>
        <v>0</v>
      </c>
      <c r="Q112" s="45">
        <f>Q35+Q109</f>
        <v>995.4</v>
      </c>
      <c r="R112" s="45">
        <f>R35+R109</f>
        <v>-995.4</v>
      </c>
      <c r="S112" s="45">
        <f>S35+S109</f>
        <v>0</v>
      </c>
      <c r="T112" s="42">
        <f t="shared" ref="T112:AC112" si="29">+T35+T109</f>
        <v>0</v>
      </c>
      <c r="U112" s="42">
        <f t="shared" si="29"/>
        <v>1044.9059999999999</v>
      </c>
      <c r="V112" s="42">
        <f t="shared" si="29"/>
        <v>-1044.9059999999999</v>
      </c>
      <c r="W112" s="42">
        <f t="shared" si="29"/>
        <v>0</v>
      </c>
      <c r="X112" s="42">
        <f t="shared" si="29"/>
        <v>0</v>
      </c>
      <c r="Y112" s="43">
        <f t="shared" si="29"/>
        <v>0</v>
      </c>
      <c r="Z112" s="43">
        <f t="shared" si="29"/>
        <v>0</v>
      </c>
      <c r="AA112" s="43">
        <f t="shared" si="29"/>
        <v>0</v>
      </c>
      <c r="AB112" s="43">
        <f t="shared" si="29"/>
        <v>0</v>
      </c>
      <c r="AC112" s="43">
        <f t="shared" si="29"/>
        <v>0</v>
      </c>
      <c r="AD112" s="44">
        <f>AD108+AD110</f>
        <v>43599.505540000006</v>
      </c>
      <c r="AE112" s="44">
        <f t="shared" ref="AE112:BJ112" si="30">AE108+AE110</f>
        <v>5857.3240000000005</v>
      </c>
      <c r="AF112" s="44">
        <f t="shared" si="30"/>
        <v>-17096.680999999997</v>
      </c>
      <c r="AG112" s="44">
        <f t="shared" si="30"/>
        <v>-2.0000000004145591E-3</v>
      </c>
      <c r="AH112" s="44">
        <f t="shared" si="30"/>
        <v>32360.33354</v>
      </c>
      <c r="AI112" s="45">
        <f t="shared" si="30"/>
        <v>7307.0390000000007</v>
      </c>
      <c r="AJ112" s="45">
        <f t="shared" si="30"/>
        <v>-15469.645</v>
      </c>
      <c r="AK112" s="44">
        <f t="shared" si="30"/>
        <v>-4.500000000007276E-2</v>
      </c>
      <c r="AL112" s="44">
        <f t="shared" si="30"/>
        <v>24197.682539999994</v>
      </c>
      <c r="AM112" s="44">
        <f t="shared" si="30"/>
        <v>8437.57</v>
      </c>
      <c r="AN112" s="44">
        <f t="shared" si="30"/>
        <v>-18140.368999999999</v>
      </c>
      <c r="AO112" s="44">
        <f t="shared" si="30"/>
        <v>-4.5474735088646412E-13</v>
      </c>
      <c r="AP112" s="44">
        <f t="shared" si="30"/>
        <v>14494.883539999997</v>
      </c>
      <c r="AQ112" s="44">
        <f t="shared" si="30"/>
        <v>7410.4310000000005</v>
      </c>
      <c r="AR112" s="44">
        <f t="shared" si="30"/>
        <v>-7127.8989999999994</v>
      </c>
      <c r="AS112" s="44">
        <f t="shared" si="30"/>
        <v>1.1368683772161603E-13</v>
      </c>
      <c r="AT112" s="44">
        <f t="shared" si="30"/>
        <v>14777.415539999998</v>
      </c>
      <c r="AU112" s="44">
        <f t="shared" si="30"/>
        <v>6242.9840000000004</v>
      </c>
      <c r="AV112" s="44">
        <f t="shared" si="30"/>
        <v>-5935.0399999999991</v>
      </c>
      <c r="AW112" s="44">
        <f t="shared" si="30"/>
        <v>0</v>
      </c>
      <c r="AX112" s="44">
        <f t="shared" si="30"/>
        <v>15085.359539999999</v>
      </c>
      <c r="AY112" s="44">
        <f t="shared" si="30"/>
        <v>4021.0780000000004</v>
      </c>
      <c r="AZ112" s="44">
        <f t="shared" si="30"/>
        <v>-4157.9759999999997</v>
      </c>
      <c r="BA112" s="44">
        <f t="shared" si="30"/>
        <v>4.2632564145606011E-14</v>
      </c>
      <c r="BB112" s="44">
        <f t="shared" si="30"/>
        <v>14948.461539999998</v>
      </c>
      <c r="BC112" s="44">
        <f t="shared" si="30"/>
        <v>7033.8480000000009</v>
      </c>
      <c r="BD112" s="44">
        <f t="shared" si="30"/>
        <v>-5661.6889999999994</v>
      </c>
      <c r="BE112" s="44">
        <f t="shared" si="30"/>
        <v>0</v>
      </c>
      <c r="BF112" s="44">
        <f t="shared" si="30"/>
        <v>16320.62054</v>
      </c>
      <c r="BG112" s="44">
        <f t="shared" si="30"/>
        <v>4022.7379999999998</v>
      </c>
      <c r="BH112" s="44">
        <f t="shared" si="30"/>
        <v>-3012.2050000000004</v>
      </c>
      <c r="BI112" s="44">
        <f t="shared" si="30"/>
        <v>4.2632564145606011E-14</v>
      </c>
      <c r="BJ112" s="44">
        <f t="shared" si="30"/>
        <v>17331.153539999999</v>
      </c>
    </row>
    <row r="113" spans="1:62" ht="12.75" customHeight="1" thickTop="1" x14ac:dyDescent="0.2">
      <c r="F113" s="26"/>
      <c r="G113" s="26"/>
      <c r="H113" s="40"/>
      <c r="I113" s="40"/>
      <c r="J113" s="26"/>
      <c r="K113" s="27"/>
      <c r="L113" s="27"/>
      <c r="M113" s="41"/>
      <c r="N113" s="41"/>
      <c r="O113" s="41"/>
      <c r="P113" s="28"/>
      <c r="Q113" s="29"/>
      <c r="R113" s="39"/>
      <c r="S113" s="39"/>
      <c r="T113" s="26"/>
      <c r="U113" s="26"/>
      <c r="V113" s="40"/>
      <c r="W113" s="40"/>
      <c r="X113" s="26"/>
      <c r="Y113" s="27"/>
      <c r="Z113" s="27"/>
      <c r="AA113" s="41"/>
      <c r="AB113" s="41"/>
      <c r="AC113" s="41"/>
      <c r="AD113" s="28"/>
      <c r="AE113" s="29"/>
      <c r="AF113" s="39"/>
      <c r="AG113" s="39"/>
      <c r="AH113" s="28"/>
      <c r="AI113" s="29"/>
      <c r="AJ113" s="39"/>
      <c r="AK113" s="39"/>
      <c r="AL113" s="28"/>
      <c r="AM113" s="29"/>
      <c r="AN113" s="39"/>
      <c r="AO113" s="39"/>
      <c r="AP113" s="28"/>
      <c r="AQ113" s="29"/>
      <c r="AR113" s="39"/>
      <c r="AS113" s="39"/>
      <c r="AT113" s="28"/>
      <c r="AU113" s="29"/>
      <c r="AV113" s="39"/>
      <c r="AW113" s="39"/>
      <c r="AX113" s="28"/>
      <c r="AY113" s="29"/>
      <c r="AZ113" s="39"/>
      <c r="BA113" s="39"/>
      <c r="BB113" s="28"/>
      <c r="BC113" s="29"/>
      <c r="BD113" s="39"/>
      <c r="BE113" s="39"/>
      <c r="BF113" s="28"/>
      <c r="BG113" s="29"/>
      <c r="BH113" s="39"/>
      <c r="BI113" s="39"/>
      <c r="BJ113" s="28"/>
    </row>
    <row r="114" spans="1:62" s="110" customFormat="1" ht="18.75" customHeight="1" thickBot="1" x14ac:dyDescent="0.3">
      <c r="A114" s="82">
        <v>800510</v>
      </c>
      <c r="B114" s="2">
        <v>47200</v>
      </c>
      <c r="C114" s="54"/>
      <c r="D114" s="46" t="s">
        <v>122</v>
      </c>
      <c r="F114" s="111">
        <v>0</v>
      </c>
      <c r="G114" s="112"/>
      <c r="H114" s="112"/>
      <c r="I114" s="112"/>
      <c r="J114" s="111">
        <f>SUM(F114:I114)</f>
        <v>0</v>
      </c>
      <c r="K114" s="113">
        <v>0</v>
      </c>
      <c r="L114" s="114">
        <v>3440.3</v>
      </c>
      <c r="M114" s="114">
        <v>-3440.3</v>
      </c>
      <c r="N114" s="114"/>
      <c r="O114" s="114">
        <f>SUM(K114:N114)</f>
        <v>0</v>
      </c>
      <c r="P114" s="115">
        <v>0</v>
      </c>
      <c r="Q114" s="116">
        <v>3440.3</v>
      </c>
      <c r="R114" s="116">
        <v>-3440.3</v>
      </c>
      <c r="S114" s="116"/>
      <c r="T114" s="111">
        <v>0</v>
      </c>
      <c r="U114" s="117">
        <f>376.7+58.311</f>
        <v>435.01099999999997</v>
      </c>
      <c r="V114" s="117">
        <v>-435.01099999999997</v>
      </c>
      <c r="W114" s="112"/>
      <c r="X114" s="111">
        <f>SUM(T114:W114)</f>
        <v>0</v>
      </c>
      <c r="Y114" s="113">
        <v>0</v>
      </c>
      <c r="Z114" s="114"/>
      <c r="AA114" s="114"/>
      <c r="AB114" s="114"/>
      <c r="AC114" s="114">
        <f>SUM(Y114:AB114)</f>
        <v>0</v>
      </c>
      <c r="AD114" s="118">
        <f>SUM(P114:S114)</f>
        <v>0</v>
      </c>
      <c r="AE114" s="119">
        <f>U114</f>
        <v>435.01099999999997</v>
      </c>
      <c r="AF114" s="119">
        <f>V114</f>
        <v>-435.01099999999997</v>
      </c>
      <c r="AG114" s="119">
        <f>W114</f>
        <v>0</v>
      </c>
      <c r="AH114" s="120">
        <v>-1987</v>
      </c>
      <c r="AI114" s="109"/>
      <c r="AJ114" s="109">
        <v>-813</v>
      </c>
      <c r="AK114" s="109"/>
      <c r="AL114" s="120">
        <f>SUM(AH114:AK114)</f>
        <v>-2800</v>
      </c>
      <c r="AM114" s="109"/>
      <c r="AN114" s="109"/>
      <c r="AO114" s="109"/>
      <c r="AP114" s="120">
        <f>SUM(AL114:AO114)</f>
        <v>-2800</v>
      </c>
      <c r="AQ114" s="109"/>
      <c r="AR114" s="109"/>
      <c r="AS114" s="109"/>
      <c r="AT114" s="120">
        <f>SUM(AP114:AS114)</f>
        <v>-2800</v>
      </c>
      <c r="AU114" s="109"/>
      <c r="AV114" s="109"/>
      <c r="AW114" s="109"/>
      <c r="AX114" s="120">
        <f>SUM(AT114:AW114)</f>
        <v>-2800</v>
      </c>
      <c r="AY114" s="109"/>
      <c r="AZ114" s="109"/>
      <c r="BA114" s="109"/>
      <c r="BB114" s="120">
        <f>SUM(AX114:BA114)</f>
        <v>-2800</v>
      </c>
      <c r="BC114" s="109"/>
      <c r="BD114" s="109"/>
      <c r="BE114" s="109"/>
      <c r="BF114" s="120">
        <f>SUM(BB114:BE114)</f>
        <v>-2800</v>
      </c>
      <c r="BG114" s="109"/>
      <c r="BH114" s="109"/>
      <c r="BI114" s="109"/>
      <c r="BJ114" s="120">
        <f>SUM(BF114:BI114)</f>
        <v>-2800</v>
      </c>
    </row>
    <row r="115" spans="1:62" s="55" customFormat="1" ht="12.75" customHeight="1" thickTop="1" thickBot="1" x14ac:dyDescent="0.25">
      <c r="A115" s="54"/>
      <c r="B115" s="2"/>
      <c r="C115" s="54"/>
      <c r="F115" s="56"/>
      <c r="G115" s="57"/>
      <c r="H115" s="57"/>
      <c r="I115" s="57"/>
      <c r="J115" s="56"/>
      <c r="K115" s="58"/>
      <c r="L115" s="59"/>
      <c r="M115" s="59"/>
      <c r="N115" s="59"/>
      <c r="O115" s="59"/>
      <c r="P115" s="60"/>
      <c r="Q115" s="61"/>
      <c r="R115" s="61"/>
      <c r="S115" s="61"/>
      <c r="T115" s="56"/>
      <c r="U115" s="57"/>
      <c r="V115" s="57"/>
      <c r="W115" s="57"/>
      <c r="X115" s="56"/>
      <c r="Y115" s="58"/>
      <c r="Z115" s="59"/>
      <c r="AA115" s="59"/>
      <c r="AB115" s="59"/>
      <c r="AC115" s="59"/>
      <c r="AD115" s="60"/>
      <c r="AE115" s="29"/>
      <c r="AF115" s="29"/>
      <c r="AG115" s="29"/>
      <c r="AH115" s="63"/>
      <c r="AI115" s="29"/>
      <c r="AJ115" s="29"/>
      <c r="AK115" s="29"/>
      <c r="AL115" s="63"/>
      <c r="AM115" s="29"/>
      <c r="AN115" s="29"/>
      <c r="AO115" s="29"/>
      <c r="AP115" s="63"/>
      <c r="AQ115" s="29"/>
      <c r="AR115" s="29"/>
      <c r="AS115" s="29"/>
      <c r="AT115" s="63"/>
      <c r="AU115" s="29"/>
      <c r="AV115" s="29"/>
      <c r="AW115" s="29"/>
      <c r="AX115" s="63"/>
      <c r="AY115" s="29"/>
      <c r="AZ115" s="29"/>
      <c r="BA115" s="29"/>
      <c r="BB115" s="63"/>
      <c r="BC115" s="29"/>
      <c r="BD115" s="29"/>
      <c r="BE115" s="29"/>
      <c r="BF115" s="63"/>
      <c r="BG115" s="29"/>
      <c r="BH115" s="29"/>
      <c r="BI115" s="29"/>
      <c r="BJ115" s="63"/>
    </row>
    <row r="116" spans="1:62" s="95" customFormat="1" ht="33.75" customHeight="1" thickBot="1" x14ac:dyDescent="0.3">
      <c r="A116" s="11"/>
      <c r="B116" s="12"/>
      <c r="C116" s="11"/>
      <c r="D116" s="53" t="s">
        <v>123</v>
      </c>
      <c r="E116" s="53"/>
      <c r="F116" s="42">
        <f t="shared" ref="F116:O116" si="31">+F39+F113</f>
        <v>9.9999999974897946E-4</v>
      </c>
      <c r="G116" s="42">
        <f t="shared" si="31"/>
        <v>3430.2910000000002</v>
      </c>
      <c r="H116" s="42">
        <f t="shared" si="31"/>
        <v>-668.24800000000005</v>
      </c>
      <c r="I116" s="42">
        <f t="shared" si="31"/>
        <v>-1809.797</v>
      </c>
      <c r="J116" s="42">
        <f t="shared" si="31"/>
        <v>952.24699999999984</v>
      </c>
      <c r="K116" s="43">
        <f t="shared" si="31"/>
        <v>9.9999999974897946E-4</v>
      </c>
      <c r="L116" s="43">
        <f t="shared" si="31"/>
        <v>3353.2</v>
      </c>
      <c r="M116" s="43">
        <f t="shared" si="31"/>
        <v>-1564.5</v>
      </c>
      <c r="N116" s="43">
        <f t="shared" si="31"/>
        <v>-1788.6969999999999</v>
      </c>
      <c r="O116" s="43">
        <f t="shared" si="31"/>
        <v>3.9999999996780389E-3</v>
      </c>
      <c r="P116" s="44">
        <f>P39+P113</f>
        <v>0</v>
      </c>
      <c r="Q116" s="45">
        <f>Q39+Q113</f>
        <v>3353.2</v>
      </c>
      <c r="R116" s="45">
        <f>R39+R113</f>
        <v>-1496.3999999999999</v>
      </c>
      <c r="S116" s="45">
        <f>S39+S113</f>
        <v>-1856.8</v>
      </c>
      <c r="T116" s="42">
        <f t="shared" ref="T116:AC116" si="32">+T39+T113</f>
        <v>952.10199999999998</v>
      </c>
      <c r="U116" s="42">
        <f t="shared" si="32"/>
        <v>701.33199999999999</v>
      </c>
      <c r="V116" s="42">
        <f t="shared" si="32"/>
        <v>-1147.8219999999999</v>
      </c>
      <c r="W116" s="42">
        <f t="shared" si="32"/>
        <v>-505.64100000000002</v>
      </c>
      <c r="X116" s="42">
        <f t="shared" si="32"/>
        <v>-2.8999999999939519E-2</v>
      </c>
      <c r="Y116" s="43">
        <f t="shared" si="32"/>
        <v>952.10199999999998</v>
      </c>
      <c r="Z116" s="43">
        <f t="shared" si="32"/>
        <v>0</v>
      </c>
      <c r="AA116" s="43">
        <f t="shared" si="32"/>
        <v>0</v>
      </c>
      <c r="AB116" s="43">
        <f t="shared" si="32"/>
        <v>0</v>
      </c>
      <c r="AC116" s="43">
        <f t="shared" si="32"/>
        <v>952.10199999999998</v>
      </c>
      <c r="AD116" s="44">
        <f t="shared" ref="AD116:BJ116" si="33">AD112+AD114</f>
        <v>43599.505540000006</v>
      </c>
      <c r="AE116" s="44">
        <f t="shared" si="33"/>
        <v>6292.3350000000009</v>
      </c>
      <c r="AF116" s="44">
        <f t="shared" si="33"/>
        <v>-17531.691999999995</v>
      </c>
      <c r="AG116" s="44">
        <f t="shared" si="33"/>
        <v>-2.0000000004145591E-3</v>
      </c>
      <c r="AH116" s="44">
        <f t="shared" si="33"/>
        <v>30373.33354</v>
      </c>
      <c r="AI116" s="45">
        <f t="shared" si="33"/>
        <v>7307.0390000000007</v>
      </c>
      <c r="AJ116" s="45">
        <f t="shared" si="33"/>
        <v>-16282.645</v>
      </c>
      <c r="AK116" s="44">
        <f t="shared" si="33"/>
        <v>-4.500000000007276E-2</v>
      </c>
      <c r="AL116" s="44">
        <f t="shared" si="33"/>
        <v>21397.682539999994</v>
      </c>
      <c r="AM116" s="44">
        <f t="shared" si="33"/>
        <v>8437.57</v>
      </c>
      <c r="AN116" s="44">
        <f t="shared" si="33"/>
        <v>-18140.368999999999</v>
      </c>
      <c r="AO116" s="44">
        <f t="shared" si="33"/>
        <v>-4.5474735088646412E-13</v>
      </c>
      <c r="AP116" s="44">
        <f t="shared" si="33"/>
        <v>11694.883539999997</v>
      </c>
      <c r="AQ116" s="44">
        <f t="shared" si="33"/>
        <v>7410.4310000000005</v>
      </c>
      <c r="AR116" s="44">
        <f t="shared" si="33"/>
        <v>-7127.8989999999994</v>
      </c>
      <c r="AS116" s="44">
        <f t="shared" si="33"/>
        <v>1.1368683772161603E-13</v>
      </c>
      <c r="AT116" s="44">
        <f t="shared" si="33"/>
        <v>11977.415539999998</v>
      </c>
      <c r="AU116" s="44">
        <f t="shared" si="33"/>
        <v>6242.9840000000004</v>
      </c>
      <c r="AV116" s="44">
        <f t="shared" si="33"/>
        <v>-5935.0399999999991</v>
      </c>
      <c r="AW116" s="44">
        <f t="shared" si="33"/>
        <v>0</v>
      </c>
      <c r="AX116" s="44">
        <f t="shared" si="33"/>
        <v>12285.359539999999</v>
      </c>
      <c r="AY116" s="44">
        <f t="shared" si="33"/>
        <v>4021.0780000000004</v>
      </c>
      <c r="AZ116" s="44">
        <f t="shared" si="33"/>
        <v>-4157.9759999999997</v>
      </c>
      <c r="BA116" s="44">
        <f t="shared" si="33"/>
        <v>4.2632564145606011E-14</v>
      </c>
      <c r="BB116" s="44">
        <f t="shared" si="33"/>
        <v>12148.461539999998</v>
      </c>
      <c r="BC116" s="44">
        <f t="shared" si="33"/>
        <v>7033.8480000000009</v>
      </c>
      <c r="BD116" s="44">
        <f t="shared" si="33"/>
        <v>-5661.6889999999994</v>
      </c>
      <c r="BE116" s="44">
        <f t="shared" si="33"/>
        <v>0</v>
      </c>
      <c r="BF116" s="44">
        <f t="shared" si="33"/>
        <v>13520.62054</v>
      </c>
      <c r="BG116" s="44">
        <f t="shared" si="33"/>
        <v>4022.7379999999998</v>
      </c>
      <c r="BH116" s="44">
        <f t="shared" si="33"/>
        <v>-3012.2050000000004</v>
      </c>
      <c r="BI116" s="44">
        <f t="shared" si="33"/>
        <v>4.2632564145606011E-14</v>
      </c>
      <c r="BJ116" s="44">
        <f t="shared" si="33"/>
        <v>14531.153539999999</v>
      </c>
    </row>
    <row r="117" spans="1:62" s="55" customFormat="1" ht="12.75" customHeight="1" thickTop="1" x14ac:dyDescent="0.2">
      <c r="A117" s="54"/>
      <c r="B117" s="2"/>
      <c r="C117" s="54"/>
      <c r="F117" s="56"/>
      <c r="G117" s="57"/>
      <c r="H117" s="57"/>
      <c r="I117" s="57"/>
      <c r="J117" s="56"/>
      <c r="K117" s="58"/>
      <c r="L117" s="59"/>
      <c r="M117" s="59"/>
      <c r="N117" s="59"/>
      <c r="O117" s="59"/>
      <c r="P117" s="60"/>
      <c r="Q117" s="61"/>
      <c r="R117" s="61"/>
      <c r="S117" s="61"/>
      <c r="T117" s="56"/>
      <c r="U117" s="57"/>
      <c r="V117" s="57"/>
      <c r="W117" s="57"/>
      <c r="X117" s="56"/>
      <c r="Y117" s="58"/>
      <c r="Z117" s="59"/>
      <c r="AA117" s="59"/>
      <c r="AB117" s="59"/>
      <c r="AC117" s="59"/>
      <c r="AD117" s="60"/>
      <c r="AE117" s="29"/>
      <c r="AF117" s="29"/>
      <c r="AG117" s="29"/>
      <c r="AH117" s="63"/>
      <c r="AI117" s="29"/>
      <c r="AJ117" s="29"/>
      <c r="AK117" s="29"/>
      <c r="AL117" s="63"/>
      <c r="AM117" s="29"/>
      <c r="AN117" s="29"/>
      <c r="AO117" s="29"/>
      <c r="AP117" s="63"/>
      <c r="AQ117" s="29"/>
      <c r="AR117" s="29"/>
      <c r="AS117" s="29"/>
      <c r="AT117" s="63"/>
      <c r="AU117" s="29"/>
      <c r="AV117" s="29"/>
      <c r="AW117" s="29"/>
      <c r="AX117" s="63"/>
      <c r="AY117" s="29"/>
      <c r="AZ117" s="29"/>
      <c r="BA117" s="29"/>
      <c r="BB117" s="63"/>
      <c r="BC117" s="29"/>
      <c r="BD117" s="29"/>
      <c r="BE117" s="29"/>
      <c r="BF117" s="63"/>
      <c r="BG117" s="29"/>
      <c r="BH117" s="29"/>
      <c r="BI117" s="29"/>
      <c r="BJ117" s="63"/>
    </row>
    <row r="118" spans="1:62" s="125" customFormat="1" ht="18.75" customHeight="1" x14ac:dyDescent="0.25">
      <c r="A118" s="121"/>
      <c r="B118" s="122"/>
      <c r="C118" s="123"/>
      <c r="D118" s="124" t="s">
        <v>124</v>
      </c>
      <c r="F118" s="126">
        <f t="shared" ref="F118:O118" si="34">+F41+F115</f>
        <v>3.0999999999949068E-2</v>
      </c>
      <c r="G118" s="127">
        <f t="shared" si="34"/>
        <v>0</v>
      </c>
      <c r="H118" s="127">
        <f t="shared" si="34"/>
        <v>0</v>
      </c>
      <c r="I118" s="127">
        <f t="shared" si="34"/>
        <v>0</v>
      </c>
      <c r="J118" s="126">
        <f t="shared" si="34"/>
        <v>3.0999999999949068E-2</v>
      </c>
      <c r="K118" s="128">
        <f t="shared" si="34"/>
        <v>3.0999999999949068E-2</v>
      </c>
      <c r="L118" s="129">
        <f t="shared" si="34"/>
        <v>0</v>
      </c>
      <c r="M118" s="129">
        <f t="shared" si="34"/>
        <v>0</v>
      </c>
      <c r="N118" s="129">
        <f t="shared" si="34"/>
        <v>0</v>
      </c>
      <c r="O118" s="129">
        <f t="shared" si="34"/>
        <v>3.0999999999949068E-2</v>
      </c>
      <c r="P118" s="130">
        <f>P41+P115</f>
        <v>3.0999999999949068E-2</v>
      </c>
      <c r="Q118" s="131">
        <f>Q41+Q115</f>
        <v>0</v>
      </c>
      <c r="R118" s="131">
        <f>R41+R115</f>
        <v>0</v>
      </c>
      <c r="S118" s="131">
        <f>S41+S115</f>
        <v>0</v>
      </c>
      <c r="T118" s="126">
        <f t="shared" ref="T118:AC118" si="35">+T41+T115</f>
        <v>3.0999999999949068E-2</v>
      </c>
      <c r="U118" s="132">
        <f t="shared" si="35"/>
        <v>0</v>
      </c>
      <c r="V118" s="132">
        <f t="shared" si="35"/>
        <v>0</v>
      </c>
      <c r="W118" s="127">
        <f t="shared" si="35"/>
        <v>0</v>
      </c>
      <c r="X118" s="126">
        <f t="shared" si="35"/>
        <v>3.0999999999949068E-2</v>
      </c>
      <c r="Y118" s="128">
        <f t="shared" si="35"/>
        <v>3.0999999999949068E-2</v>
      </c>
      <c r="Z118" s="129">
        <f t="shared" si="35"/>
        <v>0</v>
      </c>
      <c r="AA118" s="129">
        <f t="shared" si="35"/>
        <v>0</v>
      </c>
      <c r="AB118" s="129">
        <f t="shared" si="35"/>
        <v>0</v>
      </c>
      <c r="AC118" s="129">
        <f t="shared" si="35"/>
        <v>3.0999999999949068E-2</v>
      </c>
      <c r="AD118" s="130">
        <f>AD114+AD116</f>
        <v>43599.505540000006</v>
      </c>
      <c r="AE118" s="133">
        <f t="shared" ref="AE118:AG118" si="36">AE114+AE116</f>
        <v>6727.3460000000014</v>
      </c>
      <c r="AF118" s="133">
        <f t="shared" si="36"/>
        <v>-17966.702999999994</v>
      </c>
      <c r="AG118" s="133">
        <f t="shared" si="36"/>
        <v>-2.0000000004145591E-3</v>
      </c>
      <c r="AH118" s="134">
        <f>AH55</f>
        <v>18297.786</v>
      </c>
      <c r="AI118" s="135">
        <f t="shared" ref="AI118:BE118" si="37">AI55</f>
        <v>6001.67</v>
      </c>
      <c r="AJ118" s="135">
        <f t="shared" si="37"/>
        <v>-11546.877</v>
      </c>
      <c r="AK118" s="135">
        <f t="shared" si="37"/>
        <v>-2063.4859999999999</v>
      </c>
      <c r="AL118" s="134">
        <f>SUM(AH118:AK118)</f>
        <v>10689.092999999997</v>
      </c>
      <c r="AM118" s="135">
        <f t="shared" si="37"/>
        <v>4012.48</v>
      </c>
      <c r="AN118" s="135">
        <f t="shared" si="37"/>
        <v>-10493.371000000001</v>
      </c>
      <c r="AO118" s="135">
        <f t="shared" si="37"/>
        <v>-2525.4940000000006</v>
      </c>
      <c r="AP118" s="134">
        <f>SUM(AL118:AO118)</f>
        <v>1682.7079999999951</v>
      </c>
      <c r="AQ118" s="135">
        <f t="shared" si="37"/>
        <v>4205.4310000000005</v>
      </c>
      <c r="AR118" s="135">
        <f t="shared" si="37"/>
        <v>-4157.5829999999996</v>
      </c>
      <c r="AS118" s="135">
        <f t="shared" si="37"/>
        <v>-787.58399999999995</v>
      </c>
      <c r="AT118" s="134">
        <f>SUM(AP118:AS118)</f>
        <v>942.971999999996</v>
      </c>
      <c r="AU118" s="135">
        <f t="shared" si="37"/>
        <v>4152.8040000000001</v>
      </c>
      <c r="AV118" s="135">
        <f t="shared" si="37"/>
        <v>-4655.2439999999997</v>
      </c>
      <c r="AW118" s="135">
        <f t="shared" si="37"/>
        <v>502.44</v>
      </c>
      <c r="AX118" s="134">
        <f>SUM(AT118:AW118)</f>
        <v>942.97199999999657</v>
      </c>
      <c r="AY118" s="135">
        <f t="shared" si="37"/>
        <v>4021.0780000000004</v>
      </c>
      <c r="AZ118" s="135">
        <f t="shared" si="37"/>
        <v>-3729.7479999999996</v>
      </c>
      <c r="BA118" s="135">
        <f t="shared" si="37"/>
        <v>-60.020999999999958</v>
      </c>
      <c r="BB118" s="134">
        <f>SUM(AX118:BA118)</f>
        <v>1174.2809999999979</v>
      </c>
      <c r="BC118" s="135">
        <f t="shared" si="37"/>
        <v>5399.4850000000006</v>
      </c>
      <c r="BD118" s="135">
        <f t="shared" si="37"/>
        <v>-5570.7729999999992</v>
      </c>
      <c r="BE118" s="135">
        <f t="shared" si="37"/>
        <v>-60.021000000000001</v>
      </c>
      <c r="BF118" s="134">
        <f>SUM(BB118:BE118)</f>
        <v>942.97199999999953</v>
      </c>
      <c r="BG118" s="135">
        <f t="shared" ref="BG118:BI118" si="38">BG55</f>
        <v>4022.7379999999998</v>
      </c>
      <c r="BH118" s="135">
        <f t="shared" si="38"/>
        <v>-2952.1840000000002</v>
      </c>
      <c r="BI118" s="135">
        <f t="shared" si="38"/>
        <v>-60.020999999999958</v>
      </c>
      <c r="BJ118" s="134">
        <f>SUM(BF118:BI118)</f>
        <v>1953.504999999999</v>
      </c>
    </row>
    <row r="119" spans="1:62" s="125" customFormat="1" ht="18.75" customHeight="1" x14ac:dyDescent="0.25">
      <c r="A119" s="121">
        <v>800510</v>
      </c>
      <c r="B119" s="122">
        <v>47200</v>
      </c>
      <c r="C119" s="123"/>
      <c r="D119" s="124" t="s">
        <v>120</v>
      </c>
      <c r="F119" s="126">
        <v>0</v>
      </c>
      <c r="G119" s="127"/>
      <c r="H119" s="127"/>
      <c r="I119" s="127"/>
      <c r="J119" s="126">
        <f>SUM(F119:I119)</f>
        <v>0</v>
      </c>
      <c r="K119" s="128">
        <v>0</v>
      </c>
      <c r="L119" s="129">
        <v>3440.3</v>
      </c>
      <c r="M119" s="129">
        <v>-3440.3</v>
      </c>
      <c r="N119" s="129"/>
      <c r="O119" s="129">
        <f>SUM(K119:N119)</f>
        <v>0</v>
      </c>
      <c r="P119" s="130">
        <v>0</v>
      </c>
      <c r="Q119" s="131">
        <v>3440.3</v>
      </c>
      <c r="R119" s="131">
        <v>-3440.3</v>
      </c>
      <c r="S119" s="131"/>
      <c r="T119" s="126">
        <v>0</v>
      </c>
      <c r="U119" s="132">
        <f>376.7+58.311</f>
        <v>435.01099999999997</v>
      </c>
      <c r="V119" s="132">
        <v>-435.01099999999997</v>
      </c>
      <c r="W119" s="127"/>
      <c r="X119" s="126">
        <f>SUM(T119:W119)</f>
        <v>0</v>
      </c>
      <c r="Y119" s="128">
        <v>0</v>
      </c>
      <c r="Z119" s="129"/>
      <c r="AA119" s="129"/>
      <c r="AB119" s="129"/>
      <c r="AC119" s="129">
        <f>SUM(Y119:AB119)</f>
        <v>0</v>
      </c>
      <c r="AD119" s="130">
        <f>SUM(P119:S119)</f>
        <v>0</v>
      </c>
      <c r="AE119" s="133">
        <f>U119</f>
        <v>435.01099999999997</v>
      </c>
      <c r="AF119" s="133">
        <f>V119</f>
        <v>-435.01099999999997</v>
      </c>
      <c r="AG119" s="133">
        <f>W119</f>
        <v>0</v>
      </c>
      <c r="AH119" s="134">
        <f>AH110</f>
        <v>0</v>
      </c>
      <c r="AI119" s="135">
        <f>AI110</f>
        <v>1038.68</v>
      </c>
      <c r="AJ119" s="135">
        <f t="shared" ref="AJ119:AK119" si="39">AJ110</f>
        <v>-1038.68</v>
      </c>
      <c r="AK119" s="135">
        <f t="shared" si="39"/>
        <v>0</v>
      </c>
      <c r="AL119" s="134">
        <f>SUM(AH119:AK119)</f>
        <v>0</v>
      </c>
      <c r="AM119" s="135">
        <f>AM110</f>
        <v>4425.09</v>
      </c>
      <c r="AN119" s="135">
        <f t="shared" ref="AN119:AO119" si="40">AN110</f>
        <v>-4425.09</v>
      </c>
      <c r="AO119" s="135">
        <f t="shared" si="40"/>
        <v>0</v>
      </c>
      <c r="AP119" s="134">
        <f>SUM(AL119:AO119)</f>
        <v>0</v>
      </c>
      <c r="AQ119" s="135">
        <f>AQ110</f>
        <v>3205</v>
      </c>
      <c r="AR119" s="135">
        <f t="shared" ref="AR119:AS119" si="41">AR110</f>
        <v>-1018.7</v>
      </c>
      <c r="AS119" s="135">
        <f t="shared" si="41"/>
        <v>0</v>
      </c>
      <c r="AT119" s="134">
        <f>SUM(AP119:AS119)</f>
        <v>2186.3000000000002</v>
      </c>
      <c r="AU119" s="135">
        <f>AU110</f>
        <v>2090.1799999999998</v>
      </c>
      <c r="AV119" s="135">
        <f t="shared" ref="AV119:AW119" si="42">AV110</f>
        <v>-674.06200000000001</v>
      </c>
      <c r="AW119" s="135">
        <f t="shared" si="42"/>
        <v>0</v>
      </c>
      <c r="AX119" s="134">
        <f>SUM(AT119:AW119)</f>
        <v>3602.4179999999997</v>
      </c>
      <c r="AY119" s="135">
        <f>AY110</f>
        <v>0</v>
      </c>
      <c r="AZ119" s="135">
        <f t="shared" ref="AZ119:BA119" si="43">AZ110</f>
        <v>0</v>
      </c>
      <c r="BA119" s="135">
        <f t="shared" si="43"/>
        <v>0</v>
      </c>
      <c r="BB119" s="134">
        <f>SUM(AX119:BA119)</f>
        <v>3602.4179999999997</v>
      </c>
      <c r="BC119" s="135">
        <f>BC110</f>
        <v>1634.3630000000001</v>
      </c>
      <c r="BD119" s="135">
        <f t="shared" ref="BD119:BE119" si="44">BD110</f>
        <v>-30.894999999999989</v>
      </c>
      <c r="BE119" s="135">
        <f t="shared" si="44"/>
        <v>0</v>
      </c>
      <c r="BF119" s="134">
        <f>SUM(BB119:BE119)</f>
        <v>5205.8859999999995</v>
      </c>
      <c r="BG119" s="135">
        <f>BG110</f>
        <v>0</v>
      </c>
      <c r="BH119" s="135">
        <f t="shared" ref="BH119:BI119" si="45">BH110</f>
        <v>0</v>
      </c>
      <c r="BI119" s="135">
        <f t="shared" si="45"/>
        <v>0</v>
      </c>
      <c r="BJ119" s="134">
        <f>SUM(BF119:BI119)</f>
        <v>5205.8859999999995</v>
      </c>
    </row>
    <row r="120" spans="1:62" s="95" customFormat="1" ht="33.75" customHeight="1" thickBot="1" x14ac:dyDescent="0.3">
      <c r="A120" s="11"/>
      <c r="B120" s="12"/>
      <c r="C120" s="11"/>
      <c r="D120" s="53" t="s">
        <v>125</v>
      </c>
      <c r="E120" s="53"/>
      <c r="F120" s="136" t="e">
        <f>+F47+#REF!</f>
        <v>#REF!</v>
      </c>
      <c r="G120" s="136" t="e">
        <f>+G47+#REF!</f>
        <v>#REF!</v>
      </c>
      <c r="H120" s="136" t="e">
        <f>+H47+#REF!</f>
        <v>#REF!</v>
      </c>
      <c r="I120" s="136" t="e">
        <f>+I47+#REF!</f>
        <v>#REF!</v>
      </c>
      <c r="J120" s="136" t="e">
        <f>+J47+#REF!</f>
        <v>#REF!</v>
      </c>
      <c r="K120" s="137" t="e">
        <f>+K47+#REF!</f>
        <v>#REF!</v>
      </c>
      <c r="L120" s="137" t="e">
        <f>+L47+#REF!</f>
        <v>#REF!</v>
      </c>
      <c r="M120" s="137" t="e">
        <f>+M47+#REF!</f>
        <v>#REF!</v>
      </c>
      <c r="N120" s="137" t="e">
        <f>+N47+#REF!</f>
        <v>#REF!</v>
      </c>
      <c r="O120" s="137" t="e">
        <f>+O47+#REF!</f>
        <v>#REF!</v>
      </c>
      <c r="P120" s="120" t="e">
        <f>P47+#REF!</f>
        <v>#REF!</v>
      </c>
      <c r="Q120" s="109" t="e">
        <f>Q47+#REF!</f>
        <v>#REF!</v>
      </c>
      <c r="R120" s="109" t="e">
        <f>R47+#REF!</f>
        <v>#REF!</v>
      </c>
      <c r="S120" s="109" t="e">
        <f>S47+#REF!</f>
        <v>#REF!</v>
      </c>
      <c r="T120" s="136" t="e">
        <f>+T47+#REF!</f>
        <v>#REF!</v>
      </c>
      <c r="U120" s="136" t="e">
        <f>+U47+#REF!</f>
        <v>#REF!</v>
      </c>
      <c r="V120" s="136" t="e">
        <f>+V47+#REF!</f>
        <v>#REF!</v>
      </c>
      <c r="W120" s="136" t="e">
        <f>+W47+#REF!</f>
        <v>#REF!</v>
      </c>
      <c r="X120" s="136" t="e">
        <f>+X47+#REF!</f>
        <v>#REF!</v>
      </c>
      <c r="Y120" s="137" t="e">
        <f>+Y47+#REF!</f>
        <v>#REF!</v>
      </c>
      <c r="Z120" s="137" t="e">
        <f>+Z47+#REF!</f>
        <v>#REF!</v>
      </c>
      <c r="AA120" s="137" t="e">
        <f>+AA47+#REF!</f>
        <v>#REF!</v>
      </c>
      <c r="AB120" s="137" t="e">
        <f>+AB47+#REF!</f>
        <v>#REF!</v>
      </c>
      <c r="AC120" s="137" t="e">
        <f>+AC47+#REF!</f>
        <v>#REF!</v>
      </c>
      <c r="AD120" s="120" t="e">
        <f>AD118+#REF!</f>
        <v>#REF!</v>
      </c>
      <c r="AE120" s="120" t="e">
        <f>AE118+#REF!</f>
        <v>#REF!</v>
      </c>
      <c r="AF120" s="120" t="e">
        <f>AF118+#REF!</f>
        <v>#REF!</v>
      </c>
      <c r="AG120" s="120" t="e">
        <f>AG118+#REF!</f>
        <v>#REF!</v>
      </c>
      <c r="AH120" s="138">
        <f t="shared" ref="AH120:BJ120" si="46">SUM(AH118:AH119)</f>
        <v>18297.786</v>
      </c>
      <c r="AI120" s="139">
        <f t="shared" si="46"/>
        <v>7040.35</v>
      </c>
      <c r="AJ120" s="139">
        <f t="shared" si="46"/>
        <v>-12585.557000000001</v>
      </c>
      <c r="AK120" s="138">
        <f t="shared" si="46"/>
        <v>-2063.4859999999999</v>
      </c>
      <c r="AL120" s="138">
        <f t="shared" si="46"/>
        <v>10689.092999999997</v>
      </c>
      <c r="AM120" s="138">
        <f t="shared" si="46"/>
        <v>8437.57</v>
      </c>
      <c r="AN120" s="138">
        <f t="shared" si="46"/>
        <v>-14918.461000000001</v>
      </c>
      <c r="AO120" s="138">
        <f t="shared" si="46"/>
        <v>-2525.4940000000006</v>
      </c>
      <c r="AP120" s="138">
        <f t="shared" si="46"/>
        <v>1682.7079999999951</v>
      </c>
      <c r="AQ120" s="138">
        <f t="shared" si="46"/>
        <v>7410.4310000000005</v>
      </c>
      <c r="AR120" s="138">
        <f t="shared" si="46"/>
        <v>-5176.2829999999994</v>
      </c>
      <c r="AS120" s="138">
        <f t="shared" si="46"/>
        <v>-787.58399999999995</v>
      </c>
      <c r="AT120" s="138">
        <f t="shared" si="46"/>
        <v>3129.2719999999963</v>
      </c>
      <c r="AU120" s="138">
        <f t="shared" si="46"/>
        <v>6242.9840000000004</v>
      </c>
      <c r="AV120" s="138">
        <f t="shared" si="46"/>
        <v>-5329.3059999999996</v>
      </c>
      <c r="AW120" s="138">
        <f t="shared" si="46"/>
        <v>502.44</v>
      </c>
      <c r="AX120" s="138">
        <f t="shared" si="46"/>
        <v>4545.3899999999958</v>
      </c>
      <c r="AY120" s="138">
        <f t="shared" si="46"/>
        <v>4021.0780000000004</v>
      </c>
      <c r="AZ120" s="138">
        <f t="shared" si="46"/>
        <v>-3729.7479999999996</v>
      </c>
      <c r="BA120" s="138">
        <f t="shared" si="46"/>
        <v>-60.020999999999958</v>
      </c>
      <c r="BB120" s="138">
        <f t="shared" si="46"/>
        <v>4776.6989999999978</v>
      </c>
      <c r="BC120" s="138">
        <f t="shared" si="46"/>
        <v>7033.8480000000009</v>
      </c>
      <c r="BD120" s="138">
        <f t="shared" si="46"/>
        <v>-5601.6679999999997</v>
      </c>
      <c r="BE120" s="138">
        <f t="shared" si="46"/>
        <v>-60.021000000000001</v>
      </c>
      <c r="BF120" s="138">
        <f t="shared" si="46"/>
        <v>6148.8579999999993</v>
      </c>
      <c r="BG120" s="138">
        <f t="shared" si="46"/>
        <v>4022.7379999999998</v>
      </c>
      <c r="BH120" s="138">
        <f t="shared" si="46"/>
        <v>-2952.1840000000002</v>
      </c>
      <c r="BI120" s="138">
        <f t="shared" si="46"/>
        <v>-60.020999999999958</v>
      </c>
      <c r="BJ120" s="138">
        <f t="shared" si="46"/>
        <v>7159.3909999999987</v>
      </c>
    </row>
    <row r="121" spans="1:62" s="55" customFormat="1" ht="12.75" customHeight="1" thickTop="1" x14ac:dyDescent="0.2">
      <c r="A121" s="54"/>
      <c r="B121" s="2"/>
      <c r="C121" s="54"/>
      <c r="F121" s="56"/>
      <c r="G121" s="57"/>
      <c r="H121" s="57"/>
      <c r="I121" s="57"/>
      <c r="J121" s="56"/>
      <c r="K121" s="58"/>
      <c r="L121" s="59"/>
      <c r="M121" s="59"/>
      <c r="N121" s="59"/>
      <c r="O121" s="59"/>
      <c r="P121" s="60"/>
      <c r="Q121" s="61"/>
      <c r="R121" s="61"/>
      <c r="S121" s="61"/>
      <c r="T121" s="56"/>
      <c r="U121" s="57"/>
      <c r="V121" s="57"/>
      <c r="W121" s="57"/>
      <c r="X121" s="56"/>
      <c r="Y121" s="58"/>
      <c r="Z121" s="59"/>
      <c r="AA121" s="59"/>
      <c r="AB121" s="59"/>
      <c r="AC121" s="59"/>
      <c r="AD121" s="60"/>
      <c r="AE121" s="29"/>
      <c r="AF121" s="29"/>
      <c r="AG121" s="29"/>
      <c r="AH121" s="63"/>
      <c r="AI121" s="29"/>
      <c r="AJ121" s="29"/>
      <c r="AK121" s="29"/>
      <c r="AL121" s="63"/>
      <c r="AM121" s="29"/>
      <c r="AN121" s="29"/>
      <c r="AO121" s="29"/>
      <c r="AP121" s="63"/>
      <c r="AQ121" s="29"/>
      <c r="AR121" s="29"/>
      <c r="AS121" s="29"/>
      <c r="AT121" s="63"/>
      <c r="AU121" s="29"/>
      <c r="AV121" s="29"/>
      <c r="AW121" s="29"/>
      <c r="AX121" s="63"/>
      <c r="AY121" s="29"/>
      <c r="AZ121" s="29"/>
      <c r="BA121" s="29"/>
      <c r="BB121" s="63"/>
      <c r="BC121" s="29"/>
      <c r="BD121" s="29"/>
      <c r="BE121" s="29"/>
      <c r="BF121" s="63"/>
      <c r="BG121" s="29"/>
      <c r="BH121" s="29"/>
      <c r="BI121" s="29"/>
      <c r="BJ121" s="63"/>
    </row>
    <row r="122" spans="1:62" ht="12.75" customHeight="1" x14ac:dyDescent="0.2">
      <c r="F122" s="26"/>
      <c r="G122" s="26"/>
      <c r="H122" s="40"/>
      <c r="I122" s="40"/>
      <c r="J122" s="26"/>
      <c r="K122" s="27"/>
      <c r="L122" s="27"/>
      <c r="M122" s="41"/>
      <c r="N122" s="41"/>
      <c r="O122" s="41"/>
      <c r="P122" s="28"/>
      <c r="Q122" s="29"/>
      <c r="R122" s="39"/>
      <c r="S122" s="39"/>
      <c r="T122" s="26"/>
      <c r="U122" s="26"/>
      <c r="V122" s="40"/>
      <c r="W122" s="40"/>
      <c r="X122" s="26"/>
      <c r="Y122" s="27"/>
      <c r="Z122" s="27"/>
      <c r="AA122" s="41"/>
      <c r="AB122" s="41"/>
      <c r="AC122" s="41"/>
      <c r="AD122" s="28"/>
      <c r="AE122" s="29"/>
      <c r="AF122" s="39"/>
      <c r="AG122" s="39"/>
      <c r="AH122" s="28"/>
      <c r="AI122" s="29"/>
      <c r="AJ122" s="39"/>
      <c r="AK122" s="39"/>
      <c r="AL122" s="28"/>
      <c r="AM122" s="29"/>
      <c r="AN122" s="39"/>
      <c r="AO122" s="39"/>
      <c r="AP122" s="28"/>
      <c r="AQ122" s="29"/>
      <c r="AR122" s="39"/>
      <c r="AS122" s="39"/>
      <c r="AT122" s="28"/>
      <c r="AU122" s="29"/>
      <c r="AV122" s="39"/>
      <c r="AW122" s="39"/>
      <c r="AX122" s="28"/>
      <c r="AY122" s="29"/>
      <c r="AZ122" s="39"/>
      <c r="BA122" s="39"/>
      <c r="BB122" s="28"/>
      <c r="BC122" s="29"/>
      <c r="BD122" s="39"/>
      <c r="BE122" s="39"/>
      <c r="BF122" s="28"/>
      <c r="BG122" s="29"/>
      <c r="BH122" s="39"/>
      <c r="BI122" s="39"/>
      <c r="BJ122" s="28"/>
    </row>
    <row r="123" spans="1:62" s="95" customFormat="1" ht="12.75" hidden="1" customHeight="1" x14ac:dyDescent="0.25">
      <c r="A123" s="11"/>
      <c r="B123" s="12"/>
      <c r="C123" s="11"/>
      <c r="F123" s="140"/>
      <c r="G123" s="141"/>
      <c r="H123" s="141"/>
      <c r="I123" s="141"/>
      <c r="J123" s="140"/>
      <c r="K123" s="142"/>
      <c r="L123" s="143"/>
      <c r="M123" s="143"/>
      <c r="N123" s="143"/>
      <c r="O123" s="143"/>
      <c r="P123" s="142"/>
      <c r="Q123" s="143"/>
      <c r="R123" s="143"/>
      <c r="S123" s="143"/>
      <c r="T123" s="140"/>
      <c r="U123" s="141"/>
      <c r="V123" s="141"/>
      <c r="W123" s="141"/>
      <c r="X123" s="140"/>
      <c r="Y123" s="142"/>
      <c r="Z123" s="143"/>
      <c r="AA123" s="143"/>
      <c r="AB123" s="143"/>
      <c r="AC123" s="143"/>
      <c r="AD123" s="142"/>
      <c r="AE123" s="143"/>
      <c r="AF123" s="143"/>
      <c r="AG123" s="143"/>
      <c r="AH123" s="142"/>
      <c r="AI123" s="143"/>
      <c r="AJ123" s="143"/>
      <c r="AK123" s="143"/>
      <c r="AL123" s="142"/>
      <c r="AM123" s="143"/>
      <c r="AN123" s="143"/>
      <c r="AO123" s="143"/>
      <c r="AP123" s="142"/>
      <c r="AQ123" s="143"/>
      <c r="AR123" s="143"/>
      <c r="AS123" s="143"/>
      <c r="AT123" s="142"/>
      <c r="AU123" s="143"/>
      <c r="AV123" s="143"/>
      <c r="AW123" s="143"/>
      <c r="AX123" s="142"/>
      <c r="AY123" s="143"/>
      <c r="AZ123" s="143"/>
      <c r="BA123" s="143"/>
      <c r="BB123" s="142"/>
      <c r="BC123" s="143"/>
      <c r="BD123" s="143"/>
      <c r="BE123" s="143"/>
      <c r="BF123" s="142"/>
      <c r="BG123" s="143"/>
      <c r="BH123" s="143"/>
      <c r="BI123" s="143"/>
      <c r="BJ123" s="142"/>
    </row>
    <row r="124" spans="1:62" ht="27.75" hidden="1" customHeight="1" x14ac:dyDescent="0.25">
      <c r="A124" s="11"/>
      <c r="B124" s="12"/>
      <c r="C124" s="11"/>
      <c r="D124" s="144" t="s">
        <v>126</v>
      </c>
      <c r="E124" s="144"/>
      <c r="F124" s="23">
        <v>59698.978999999999</v>
      </c>
      <c r="G124" s="23" t="e">
        <f>G105+#REF!</f>
        <v>#REF!</v>
      </c>
      <c r="H124" s="23" t="e">
        <f>H105+#REF!</f>
        <v>#REF!</v>
      </c>
      <c r="I124" s="23" t="e">
        <f>I105+#REF!</f>
        <v>#REF!</v>
      </c>
      <c r="J124" s="23" t="e">
        <f>J105+#REF!</f>
        <v>#REF!</v>
      </c>
      <c r="K124" s="24">
        <v>59698.978999999999</v>
      </c>
      <c r="L124" s="5" t="e">
        <f>L105+#REF!</f>
        <v>#REF!</v>
      </c>
      <c r="M124" s="5" t="e">
        <f>M105+#REF!</f>
        <v>#REF!</v>
      </c>
      <c r="N124" s="5" t="e">
        <f>N105+#REF!</f>
        <v>#REF!</v>
      </c>
      <c r="P124" s="24" t="e">
        <f>P105+#REF!</f>
        <v>#REF!</v>
      </c>
      <c r="Q124" s="5" t="e">
        <f>Q105+#REF!</f>
        <v>#REF!</v>
      </c>
      <c r="R124" s="5" t="e">
        <f>R105+#REF!</f>
        <v>#REF!</v>
      </c>
      <c r="S124" s="5" t="e">
        <f>S105+#REF!</f>
        <v>#REF!</v>
      </c>
      <c r="T124" s="23">
        <v>59698.978999999999</v>
      </c>
      <c r="U124" s="23" t="e">
        <f>U105+#REF!</f>
        <v>#REF!</v>
      </c>
      <c r="V124" s="23" t="e">
        <f>V105+#REF!</f>
        <v>#REF!</v>
      </c>
      <c r="W124" s="23" t="e">
        <f>W105+#REF!</f>
        <v>#REF!</v>
      </c>
      <c r="X124" s="23" t="e">
        <f>X105+#REF!</f>
        <v>#REF!</v>
      </c>
      <c r="Y124" s="24">
        <v>59698.978999999999</v>
      </c>
      <c r="Z124" s="5" t="e">
        <f>Z105+#REF!</f>
        <v>#REF!</v>
      </c>
      <c r="AA124" s="5" t="e">
        <f>AA105+#REF!</f>
        <v>#REF!</v>
      </c>
      <c r="AB124" s="5" t="e">
        <f>AB105+#REF!</f>
        <v>#REF!</v>
      </c>
      <c r="AD124" s="24" t="e">
        <f>AD105+#REF!</f>
        <v>#REF!</v>
      </c>
      <c r="AE124" s="5" t="e">
        <f>AE105+#REF!</f>
        <v>#REF!</v>
      </c>
      <c r="AF124" s="5" t="e">
        <f>AF105+#REF!</f>
        <v>#REF!</v>
      </c>
      <c r="AG124" s="5" t="e">
        <f>AG105+#REF!</f>
        <v>#REF!</v>
      </c>
      <c r="AH124" s="24" t="e">
        <f>AH105+#REF!</f>
        <v>#REF!</v>
      </c>
      <c r="AI124" s="5" t="e">
        <f>AI105+#REF!</f>
        <v>#REF!</v>
      </c>
      <c r="AJ124" s="5" t="e">
        <f>AJ105+#REF!</f>
        <v>#REF!</v>
      </c>
      <c r="AK124" s="5" t="e">
        <f>AK105+#REF!</f>
        <v>#REF!</v>
      </c>
      <c r="AL124" s="24" t="e">
        <f>AL105+#REF!</f>
        <v>#REF!</v>
      </c>
      <c r="AM124" s="5" t="e">
        <f>AM105+#REF!</f>
        <v>#REF!</v>
      </c>
      <c r="AN124" s="5" t="e">
        <f>AN105+#REF!</f>
        <v>#REF!</v>
      </c>
      <c r="AO124" s="5" t="e">
        <f>AO105+#REF!</f>
        <v>#REF!</v>
      </c>
      <c r="AP124" s="24" t="e">
        <f>AP105+#REF!</f>
        <v>#REF!</v>
      </c>
      <c r="AQ124" s="5" t="e">
        <f>AQ105+#REF!</f>
        <v>#REF!</v>
      </c>
      <c r="AR124" s="5" t="e">
        <f>AR105+#REF!</f>
        <v>#REF!</v>
      </c>
      <c r="AS124" s="5" t="e">
        <f>AS105+#REF!</f>
        <v>#REF!</v>
      </c>
      <c r="AT124" s="24" t="e">
        <f>AT105+#REF!</f>
        <v>#REF!</v>
      </c>
      <c r="AU124" s="5" t="e">
        <f>AU105+#REF!</f>
        <v>#REF!</v>
      </c>
      <c r="AV124" s="5" t="e">
        <f>AV105+#REF!</f>
        <v>#REF!</v>
      </c>
      <c r="AW124" s="5" t="e">
        <f>AW105+#REF!</f>
        <v>#REF!</v>
      </c>
      <c r="AX124" s="24" t="e">
        <f>AX105+#REF!</f>
        <v>#REF!</v>
      </c>
      <c r="AY124" s="5" t="e">
        <f>AY105+#REF!</f>
        <v>#REF!</v>
      </c>
      <c r="AZ124" s="5" t="e">
        <f>AZ105+#REF!</f>
        <v>#REF!</v>
      </c>
      <c r="BA124" s="5" t="e">
        <f>BA105+#REF!</f>
        <v>#REF!</v>
      </c>
      <c r="BB124" s="24" t="e">
        <f>BB105+#REF!</f>
        <v>#REF!</v>
      </c>
      <c r="BC124" s="5" t="e">
        <f>BC105+#REF!</f>
        <v>#REF!</v>
      </c>
      <c r="BD124" s="5" t="e">
        <f>BD105+#REF!</f>
        <v>#REF!</v>
      </c>
      <c r="BE124" s="5" t="e">
        <f>BE105+#REF!</f>
        <v>#REF!</v>
      </c>
      <c r="BF124" s="24" t="e">
        <f>BF105+#REF!</f>
        <v>#REF!</v>
      </c>
      <c r="BG124" s="5" t="e">
        <f>BG105+#REF!</f>
        <v>#REF!</v>
      </c>
      <c r="BH124" s="5" t="e">
        <f>BH105+#REF!</f>
        <v>#REF!</v>
      </c>
      <c r="BI124" s="5" t="e">
        <f>BI105+#REF!</f>
        <v>#REF!</v>
      </c>
      <c r="BJ124" s="24" t="e">
        <f>BJ105+#REF!</f>
        <v>#REF!</v>
      </c>
    </row>
    <row r="125" spans="1:62" ht="12.75" hidden="1" customHeight="1" x14ac:dyDescent="0.25">
      <c r="A125" s="11"/>
      <c r="B125" s="12"/>
      <c r="C125" s="11"/>
      <c r="D125" s="145"/>
      <c r="E125" s="145"/>
      <c r="F125" s="23"/>
      <c r="G125" s="23"/>
      <c r="H125" s="23"/>
      <c r="I125" s="23"/>
      <c r="J125" s="23"/>
      <c r="K125" s="24"/>
      <c r="P125" s="24"/>
      <c r="T125" s="23"/>
      <c r="U125" s="23"/>
      <c r="V125" s="23"/>
      <c r="W125" s="23"/>
      <c r="X125" s="23"/>
      <c r="Y125" s="24"/>
      <c r="AD125" s="24"/>
      <c r="AH125" s="24">
        <f>AH108-AH15</f>
        <v>22663.376539999997</v>
      </c>
      <c r="AL125" s="24"/>
      <c r="AP125" s="24"/>
      <c r="AT125" s="24"/>
      <c r="AX125" s="24"/>
      <c r="BB125" s="24"/>
      <c r="BF125" s="24"/>
      <c r="BJ125" s="24"/>
    </row>
    <row r="126" spans="1:62" ht="12.75" hidden="1" customHeight="1" x14ac:dyDescent="0.25">
      <c r="A126" s="11"/>
      <c r="B126" s="12"/>
      <c r="C126" s="11"/>
      <c r="D126" s="145" t="s">
        <v>127</v>
      </c>
      <c r="E126" s="145"/>
      <c r="F126" s="23" t="s">
        <v>128</v>
      </c>
      <c r="G126" s="23"/>
      <c r="H126" s="23"/>
      <c r="I126" s="23"/>
      <c r="J126" s="23"/>
      <c r="K126" s="24"/>
      <c r="P126" s="24"/>
      <c r="T126" s="23" t="s">
        <v>128</v>
      </c>
      <c r="U126" s="23"/>
      <c r="V126" s="23"/>
      <c r="W126" s="23"/>
      <c r="X126" s="23"/>
      <c r="Y126" s="24"/>
      <c r="AD126" s="24"/>
      <c r="AH126" s="24"/>
      <c r="AL126" s="24"/>
      <c r="AP126" s="24"/>
      <c r="AT126" s="24"/>
      <c r="AX126" s="24"/>
      <c r="BB126" s="24"/>
      <c r="BF126" s="24"/>
      <c r="BJ126" s="24"/>
    </row>
    <row r="127" spans="1:62" ht="12.75" hidden="1" customHeight="1" x14ac:dyDescent="0.25">
      <c r="A127" s="11"/>
      <c r="B127" s="12"/>
      <c r="C127" s="11"/>
      <c r="D127" s="145"/>
      <c r="E127" s="145"/>
      <c r="F127" s="23"/>
      <c r="G127" s="23"/>
      <c r="H127" s="23"/>
      <c r="I127" s="23"/>
      <c r="J127" s="23"/>
      <c r="K127" s="24"/>
      <c r="P127" s="24"/>
      <c r="T127" s="23"/>
      <c r="U127" s="23"/>
      <c r="V127" s="23"/>
      <c r="W127" s="23"/>
      <c r="X127" s="23"/>
      <c r="Y127" s="24"/>
      <c r="AD127" s="24"/>
      <c r="AH127" s="24"/>
      <c r="AL127" s="24"/>
      <c r="AP127" s="24"/>
      <c r="AT127" s="24"/>
      <c r="AX127" s="24"/>
      <c r="BB127" s="24"/>
      <c r="BF127" s="24"/>
      <c r="BJ127" s="24"/>
    </row>
    <row r="128" spans="1:62" ht="12.75" hidden="1" customHeight="1" x14ac:dyDescent="0.25">
      <c r="A128" s="11"/>
      <c r="B128" s="12"/>
      <c r="C128" s="11"/>
      <c r="D128" s="145" t="s">
        <v>78</v>
      </c>
      <c r="E128" s="145"/>
      <c r="F128" s="23">
        <v>62665.186000000002</v>
      </c>
      <c r="G128" s="23"/>
      <c r="H128" s="23"/>
      <c r="I128" s="23"/>
      <c r="J128" s="23">
        <f>SUM(F128:I128)</f>
        <v>62665.186000000002</v>
      </c>
      <c r="K128" s="24">
        <v>62665.186000000002</v>
      </c>
      <c r="P128" s="24">
        <f>SUM(K128:N128)</f>
        <v>62665.186000000002</v>
      </c>
      <c r="T128" s="23">
        <v>62665.186000000002</v>
      </c>
      <c r="U128" s="23"/>
      <c r="V128" s="23"/>
      <c r="W128" s="23"/>
      <c r="X128" s="23">
        <f>SUM(T128:W128)</f>
        <v>62665.186000000002</v>
      </c>
      <c r="Y128" s="24">
        <v>62665.186000000002</v>
      </c>
      <c r="AD128" s="24">
        <f>SUM(P128:S128)</f>
        <v>62665.186000000002</v>
      </c>
      <c r="AH128" s="24">
        <f>SUM(AD128:AG128)</f>
        <v>62665.186000000002</v>
      </c>
      <c r="AL128" s="24">
        <f>SUM(AH128:AK128)</f>
        <v>62665.186000000002</v>
      </c>
      <c r="AP128" s="24">
        <f>SUM(AL128:AO128)</f>
        <v>62665.186000000002</v>
      </c>
      <c r="AT128" s="24">
        <f>SUM(AP128:AS128)</f>
        <v>62665.186000000002</v>
      </c>
      <c r="AX128" s="24">
        <f>SUM(AT128:AW128)</f>
        <v>62665.186000000002</v>
      </c>
      <c r="BB128" s="24">
        <f>SUM(AX128:BA128)</f>
        <v>62665.186000000002</v>
      </c>
      <c r="BF128" s="24">
        <f>SUM(BB128:BE128)</f>
        <v>62665.186000000002</v>
      </c>
      <c r="BJ128" s="24">
        <f>SUM(BF128:BI128)</f>
        <v>62665.186000000002</v>
      </c>
    </row>
    <row r="129" spans="1:62" ht="12.75" hidden="1" customHeight="1" x14ac:dyDescent="0.25">
      <c r="A129" s="11"/>
      <c r="B129" s="12"/>
      <c r="C129" s="11"/>
      <c r="D129" s="3" t="s">
        <v>129</v>
      </c>
      <c r="F129" s="23"/>
      <c r="G129" s="23"/>
      <c r="H129" s="23"/>
      <c r="I129" s="23"/>
      <c r="J129" s="23"/>
      <c r="K129" s="24"/>
      <c r="P129" s="24"/>
      <c r="T129" s="23"/>
      <c r="U129" s="23"/>
      <c r="V129" s="23"/>
      <c r="W129" s="23"/>
      <c r="X129" s="23"/>
      <c r="Y129" s="24"/>
      <c r="AD129" s="24"/>
      <c r="AH129" s="24"/>
      <c r="AL129" s="24"/>
      <c r="AP129" s="24"/>
      <c r="AT129" s="24"/>
      <c r="AX129" s="24"/>
      <c r="BB129" s="24"/>
      <c r="BF129" s="24"/>
      <c r="BJ129" s="24"/>
    </row>
    <row r="130" spans="1:62" ht="12.75" hidden="1" customHeight="1" x14ac:dyDescent="0.25">
      <c r="A130" s="11"/>
      <c r="B130" s="12"/>
      <c r="C130" s="11"/>
      <c r="D130" s="144" t="s">
        <v>130</v>
      </c>
      <c r="E130" s="144"/>
      <c r="F130" s="23"/>
      <c r="G130" s="23"/>
      <c r="H130" s="23"/>
      <c r="I130" s="23"/>
      <c r="J130" s="23"/>
      <c r="K130" s="24"/>
      <c r="P130" s="24"/>
      <c r="T130" s="23"/>
      <c r="U130" s="23"/>
      <c r="V130" s="23"/>
      <c r="W130" s="23"/>
      <c r="X130" s="23"/>
      <c r="Y130" s="24"/>
      <c r="AD130" s="24"/>
      <c r="AH130" s="24"/>
      <c r="AL130" s="24"/>
      <c r="AP130" s="24"/>
      <c r="AT130" s="24"/>
      <c r="AX130" s="24"/>
      <c r="BB130" s="24"/>
      <c r="BF130" s="24"/>
      <c r="BJ130" s="24"/>
    </row>
    <row r="131" spans="1:62" ht="12.75" hidden="1" customHeight="1" x14ac:dyDescent="0.25">
      <c r="D131" s="95" t="s">
        <v>131</v>
      </c>
      <c r="E131" s="95"/>
      <c r="F131" s="23"/>
      <c r="G131" s="146"/>
      <c r="H131" s="146"/>
      <c r="I131" s="146"/>
      <c r="J131" s="23"/>
      <c r="K131" s="24"/>
      <c r="L131" s="147"/>
      <c r="M131" s="147"/>
      <c r="N131" s="147"/>
      <c r="O131" s="147"/>
      <c r="P131" s="24"/>
      <c r="Q131" s="147"/>
      <c r="R131" s="147"/>
      <c r="S131" s="147"/>
      <c r="T131" s="23"/>
      <c r="U131" s="146"/>
      <c r="V131" s="146"/>
      <c r="W131" s="146"/>
      <c r="X131" s="23"/>
      <c r="Y131" s="24"/>
      <c r="Z131" s="147"/>
      <c r="AA131" s="147"/>
      <c r="AB131" s="147"/>
      <c r="AC131" s="147"/>
      <c r="AD131" s="24"/>
      <c r="AE131" s="147"/>
      <c r="AF131" s="147"/>
      <c r="AG131" s="147"/>
      <c r="AH131" s="24"/>
      <c r="AI131" s="147"/>
      <c r="AJ131" s="147"/>
      <c r="AK131" s="147"/>
      <c r="AL131" s="24"/>
      <c r="AM131" s="147"/>
      <c r="AN131" s="147"/>
      <c r="AO131" s="147"/>
      <c r="AP131" s="24"/>
      <c r="AQ131" s="147"/>
      <c r="AR131" s="147"/>
      <c r="AS131" s="147"/>
      <c r="AT131" s="24"/>
      <c r="AU131" s="147"/>
      <c r="AV131" s="147"/>
      <c r="AW131" s="147"/>
      <c r="AX131" s="24"/>
      <c r="AY131" s="147"/>
      <c r="AZ131" s="147"/>
      <c r="BA131" s="147"/>
      <c r="BB131" s="24"/>
      <c r="BC131" s="147"/>
      <c r="BD131" s="147"/>
      <c r="BE131" s="147"/>
      <c r="BF131" s="24"/>
      <c r="BG131" s="147"/>
      <c r="BH131" s="147"/>
      <c r="BI131" s="147"/>
      <c r="BJ131" s="24"/>
    </row>
    <row r="132" spans="1:62" ht="12.75" hidden="1" customHeight="1" x14ac:dyDescent="0.2">
      <c r="D132" s="3" t="s">
        <v>132</v>
      </c>
      <c r="F132" s="23"/>
      <c r="G132" s="146"/>
      <c r="H132" s="146"/>
      <c r="I132" s="146"/>
      <c r="J132" s="23"/>
      <c r="K132" s="24"/>
      <c r="L132" s="147"/>
      <c r="M132" s="147"/>
      <c r="N132" s="147"/>
      <c r="O132" s="147"/>
      <c r="P132" s="24"/>
      <c r="Q132" s="147"/>
      <c r="R132" s="147"/>
      <c r="S132" s="147"/>
      <c r="T132" s="23"/>
      <c r="U132" s="146"/>
      <c r="V132" s="146"/>
      <c r="W132" s="146"/>
      <c r="X132" s="23"/>
      <c r="Y132" s="24"/>
      <c r="Z132" s="147"/>
      <c r="AA132" s="147"/>
      <c r="AB132" s="147"/>
      <c r="AC132" s="147"/>
      <c r="AD132" s="24"/>
      <c r="AE132" s="147"/>
      <c r="AF132" s="147"/>
      <c r="AG132" s="147"/>
      <c r="AH132" s="24"/>
      <c r="AI132" s="147"/>
      <c r="AJ132" s="147"/>
      <c r="AK132" s="147"/>
      <c r="AL132" s="24"/>
      <c r="AM132" s="147"/>
      <c r="AN132" s="147"/>
      <c r="AO132" s="147"/>
      <c r="AP132" s="24"/>
      <c r="AQ132" s="147"/>
      <c r="AR132" s="147"/>
      <c r="AS132" s="147"/>
      <c r="AT132" s="24"/>
      <c r="AU132" s="147"/>
      <c r="AV132" s="147"/>
      <c r="AW132" s="147"/>
      <c r="AX132" s="24"/>
      <c r="AY132" s="147"/>
      <c r="AZ132" s="147"/>
      <c r="BA132" s="147"/>
      <c r="BB132" s="24"/>
      <c r="BC132" s="147"/>
      <c r="BD132" s="147"/>
      <c r="BE132" s="147"/>
      <c r="BF132" s="24"/>
      <c r="BG132" s="147"/>
      <c r="BH132" s="147"/>
      <c r="BI132" s="147"/>
      <c r="BJ132" s="24"/>
    </row>
    <row r="133" spans="1:62" ht="12.75" hidden="1" customHeight="1" x14ac:dyDescent="0.2">
      <c r="D133" s="3" t="s">
        <v>133</v>
      </c>
      <c r="F133" s="23"/>
      <c r="G133" s="146"/>
      <c r="H133" s="146"/>
      <c r="I133" s="146"/>
      <c r="J133" s="23"/>
      <c r="K133" s="24"/>
      <c r="L133" s="147"/>
      <c r="M133" s="147"/>
      <c r="N133" s="147"/>
      <c r="O133" s="147"/>
      <c r="P133" s="24"/>
      <c r="Q133" s="147"/>
      <c r="R133" s="147"/>
      <c r="S133" s="147"/>
      <c r="T133" s="23"/>
      <c r="U133" s="146"/>
      <c r="V133" s="146"/>
      <c r="W133" s="146"/>
      <c r="X133" s="23"/>
      <c r="Y133" s="24"/>
      <c r="Z133" s="147"/>
      <c r="AA133" s="147"/>
      <c r="AB133" s="147"/>
      <c r="AC133" s="147"/>
      <c r="AD133" s="24"/>
      <c r="AE133" s="147"/>
      <c r="AF133" s="147"/>
      <c r="AG133" s="147"/>
      <c r="AH133" s="24"/>
      <c r="AI133" s="147"/>
      <c r="AJ133" s="147"/>
      <c r="AK133" s="147"/>
      <c r="AL133" s="24"/>
      <c r="AM133" s="147"/>
      <c r="AN133" s="147"/>
      <c r="AO133" s="147"/>
      <c r="AP133" s="24"/>
      <c r="AQ133" s="147"/>
      <c r="AR133" s="147"/>
      <c r="AS133" s="147"/>
      <c r="AT133" s="24"/>
      <c r="AU133" s="147"/>
      <c r="AV133" s="147"/>
      <c r="AW133" s="147"/>
      <c r="AX133" s="24"/>
      <c r="AY133" s="147"/>
      <c r="AZ133" s="147"/>
      <c r="BA133" s="147"/>
      <c r="BB133" s="24"/>
      <c r="BC133" s="147"/>
      <c r="BD133" s="147"/>
      <c r="BE133" s="147"/>
      <c r="BF133" s="24"/>
      <c r="BG133" s="147"/>
      <c r="BH133" s="147"/>
      <c r="BI133" s="147"/>
      <c r="BJ133" s="24"/>
    </row>
    <row r="134" spans="1:62" ht="12.75" hidden="1" customHeight="1" x14ac:dyDescent="0.2">
      <c r="F134" s="23"/>
      <c r="G134" s="146"/>
      <c r="H134" s="146"/>
      <c r="I134" s="146"/>
      <c r="J134" s="23"/>
      <c r="K134" s="24"/>
      <c r="L134" s="147"/>
      <c r="M134" s="147"/>
      <c r="N134" s="147"/>
      <c r="O134" s="147"/>
      <c r="P134" s="24"/>
      <c r="Q134" s="147"/>
      <c r="R134" s="147"/>
      <c r="S134" s="147"/>
      <c r="T134" s="23"/>
      <c r="U134" s="146"/>
      <c r="V134" s="146"/>
      <c r="W134" s="146"/>
      <c r="X134" s="23"/>
      <c r="Y134" s="24"/>
      <c r="Z134" s="147"/>
      <c r="AA134" s="147"/>
      <c r="AB134" s="147"/>
      <c r="AC134" s="147"/>
      <c r="AD134" s="24"/>
      <c r="AE134" s="147"/>
      <c r="AF134" s="147"/>
      <c r="AG134" s="147"/>
      <c r="AH134" s="24"/>
      <c r="AI134" s="147"/>
      <c r="AJ134" s="147"/>
      <c r="AK134" s="147"/>
      <c r="AL134" s="24"/>
      <c r="AM134" s="147"/>
      <c r="AN134" s="147"/>
      <c r="AO134" s="147"/>
      <c r="AP134" s="24"/>
      <c r="AQ134" s="147"/>
      <c r="AR134" s="147"/>
      <c r="AS134" s="147"/>
      <c r="AT134" s="24"/>
      <c r="AU134" s="147"/>
      <c r="AV134" s="147"/>
      <c r="AW134" s="147"/>
      <c r="AX134" s="24"/>
      <c r="AY134" s="147"/>
      <c r="AZ134" s="147"/>
      <c r="BA134" s="147"/>
      <c r="BB134" s="24"/>
      <c r="BC134" s="147"/>
      <c r="BD134" s="147"/>
      <c r="BE134" s="147"/>
      <c r="BF134" s="24"/>
      <c r="BG134" s="147"/>
      <c r="BH134" s="147"/>
      <c r="BI134" s="147"/>
      <c r="BJ134" s="24"/>
    </row>
    <row r="135" spans="1:62" ht="12.75" hidden="1" customHeight="1" x14ac:dyDescent="0.2">
      <c r="F135" s="23"/>
      <c r="G135" s="146"/>
      <c r="H135" s="146"/>
      <c r="I135" s="146"/>
      <c r="J135" s="23"/>
      <c r="K135" s="24"/>
      <c r="L135" s="147"/>
      <c r="M135" s="147"/>
      <c r="N135" s="147"/>
      <c r="O135" s="147"/>
      <c r="P135" s="24"/>
      <c r="Q135" s="147"/>
      <c r="R135" s="147"/>
      <c r="S135" s="147"/>
      <c r="T135" s="23"/>
      <c r="U135" s="146"/>
      <c r="V135" s="146"/>
      <c r="W135" s="146"/>
      <c r="X135" s="23"/>
      <c r="Y135" s="24"/>
      <c r="Z135" s="147"/>
      <c r="AA135" s="147"/>
      <c r="AB135" s="147"/>
      <c r="AC135" s="147"/>
      <c r="AD135" s="24"/>
      <c r="AE135" s="147"/>
      <c r="AF135" s="147"/>
      <c r="AG135" s="147"/>
      <c r="AH135" s="24"/>
      <c r="AI135" s="147"/>
      <c r="AJ135" s="147"/>
      <c r="AK135" s="147"/>
      <c r="AL135" s="24"/>
      <c r="AM135" s="147"/>
      <c r="AN135" s="147"/>
      <c r="AO135" s="147"/>
      <c r="AP135" s="24"/>
      <c r="AQ135" s="147"/>
      <c r="AR135" s="147"/>
      <c r="AS135" s="147"/>
      <c r="AT135" s="24"/>
      <c r="AU135" s="147"/>
      <c r="AV135" s="147"/>
      <c r="AW135" s="147"/>
      <c r="AX135" s="24"/>
      <c r="AY135" s="147"/>
      <c r="AZ135" s="147"/>
      <c r="BA135" s="147"/>
      <c r="BB135" s="24"/>
      <c r="BC135" s="147"/>
      <c r="BD135" s="147"/>
      <c r="BE135" s="147"/>
      <c r="BF135" s="24"/>
      <c r="BG135" s="147"/>
      <c r="BH135" s="147"/>
      <c r="BI135" s="147"/>
      <c r="BJ135" s="24"/>
    </row>
    <row r="136" spans="1:62" ht="12.75" hidden="1" customHeight="1" thickBot="1" x14ac:dyDescent="0.25">
      <c r="D136" s="3" t="s">
        <v>134</v>
      </c>
      <c r="F136" s="23">
        <v>5322.5</v>
      </c>
      <c r="G136" s="146">
        <v>2300</v>
      </c>
      <c r="H136" s="146">
        <v>-3886</v>
      </c>
      <c r="I136" s="146">
        <v>-3886</v>
      </c>
      <c r="J136" s="23">
        <f>SUM(F136:I136)</f>
        <v>-149.5</v>
      </c>
      <c r="K136" s="24">
        <v>5322.5</v>
      </c>
      <c r="L136" s="147">
        <v>2300</v>
      </c>
      <c r="M136" s="147">
        <v>-3886</v>
      </c>
      <c r="N136" s="147">
        <v>-3886</v>
      </c>
      <c r="O136" s="147"/>
      <c r="P136" s="24">
        <f>SUM(K136:N136)</f>
        <v>-149.5</v>
      </c>
      <c r="Q136" s="147">
        <v>2300</v>
      </c>
      <c r="R136" s="147">
        <v>-3886</v>
      </c>
      <c r="S136" s="147">
        <v>-3886</v>
      </c>
      <c r="T136" s="23">
        <v>5322.5</v>
      </c>
      <c r="U136" s="146">
        <v>2300</v>
      </c>
      <c r="V136" s="146">
        <v>-3886</v>
      </c>
      <c r="W136" s="146">
        <v>-3886</v>
      </c>
      <c r="X136" s="23">
        <f>SUM(T136:W136)</f>
        <v>-149.5</v>
      </c>
      <c r="Y136" s="24">
        <v>5322.5</v>
      </c>
      <c r="Z136" s="147">
        <v>2300</v>
      </c>
      <c r="AA136" s="147">
        <v>-3886</v>
      </c>
      <c r="AB136" s="147">
        <v>-3886</v>
      </c>
      <c r="AC136" s="147"/>
      <c r="AD136" s="24">
        <f>SUM(P136:S136)</f>
        <v>-5621.5</v>
      </c>
      <c r="AE136" s="147">
        <v>2300</v>
      </c>
      <c r="AF136" s="147">
        <v>-3886</v>
      </c>
      <c r="AG136" s="147">
        <v>-3886</v>
      </c>
      <c r="AH136" s="24">
        <f>SUM(AD136:AG136)</f>
        <v>-11093.5</v>
      </c>
      <c r="AI136" s="147">
        <v>2300</v>
      </c>
      <c r="AJ136" s="147">
        <v>-3886</v>
      </c>
      <c r="AK136" s="147">
        <v>-3886</v>
      </c>
      <c r="AL136" s="24">
        <f>SUM(AH136:AK136)</f>
        <v>-16565.5</v>
      </c>
      <c r="AM136" s="147">
        <v>2300</v>
      </c>
      <c r="AN136" s="147">
        <v>-3886</v>
      </c>
      <c r="AO136" s="147">
        <v>-3886</v>
      </c>
      <c r="AP136" s="24">
        <f>SUM(AL136:AO136)</f>
        <v>-22037.5</v>
      </c>
      <c r="AQ136" s="147">
        <v>2300</v>
      </c>
      <c r="AR136" s="147">
        <v>-3886</v>
      </c>
      <c r="AS136" s="147">
        <v>-3886</v>
      </c>
      <c r="AT136" s="24">
        <f>SUM(AP136:AS136)</f>
        <v>-27509.5</v>
      </c>
      <c r="AU136" s="147">
        <v>2300</v>
      </c>
      <c r="AV136" s="147">
        <v>-3886</v>
      </c>
      <c r="AW136" s="147">
        <v>-3886</v>
      </c>
      <c r="AX136" s="24">
        <f>SUM(AT136:AW136)</f>
        <v>-32981.5</v>
      </c>
      <c r="AY136" s="147">
        <v>2300</v>
      </c>
      <c r="AZ136" s="147">
        <v>-3886</v>
      </c>
      <c r="BA136" s="147">
        <v>-3886</v>
      </c>
      <c r="BB136" s="24">
        <f>SUM(AX136:BA136)</f>
        <v>-38453.5</v>
      </c>
      <c r="BC136" s="147">
        <v>2300</v>
      </c>
      <c r="BD136" s="147">
        <v>-3886</v>
      </c>
      <c r="BE136" s="147">
        <v>-3886</v>
      </c>
      <c r="BF136" s="24">
        <f>SUM(BB136:BE136)</f>
        <v>-43925.5</v>
      </c>
      <c r="BG136" s="147">
        <v>2300</v>
      </c>
      <c r="BH136" s="147">
        <v>-3886</v>
      </c>
      <c r="BI136" s="147">
        <v>-3886</v>
      </c>
      <c r="BJ136" s="24">
        <f>SUM(BF136:BI136)</f>
        <v>-49397.5</v>
      </c>
    </row>
    <row r="137" spans="1:62" s="95" customFormat="1" ht="12.75" hidden="1" customHeight="1" thickBot="1" x14ac:dyDescent="0.3">
      <c r="A137" s="11"/>
      <c r="B137" s="12"/>
      <c r="C137" s="11"/>
      <c r="D137" s="11" t="s">
        <v>135</v>
      </c>
      <c r="E137" s="11"/>
      <c r="F137" s="148">
        <v>36</v>
      </c>
      <c r="G137" s="148">
        <v>-36</v>
      </c>
      <c r="H137" s="148">
        <v>36</v>
      </c>
      <c r="I137" s="148">
        <v>36</v>
      </c>
      <c r="J137" s="148">
        <f>SUM(F137:I137)</f>
        <v>72</v>
      </c>
      <c r="K137" s="149">
        <v>36</v>
      </c>
      <c r="L137" s="150">
        <v>-36</v>
      </c>
      <c r="M137" s="150">
        <v>36</v>
      </c>
      <c r="N137" s="150">
        <v>36</v>
      </c>
      <c r="O137" s="150"/>
      <c r="P137" s="149">
        <f>SUM(K137:N137)</f>
        <v>72</v>
      </c>
      <c r="Q137" s="150">
        <v>-36</v>
      </c>
      <c r="R137" s="150">
        <v>36</v>
      </c>
      <c r="S137" s="150">
        <v>36</v>
      </c>
      <c r="T137" s="148">
        <v>36</v>
      </c>
      <c r="U137" s="148">
        <v>-36</v>
      </c>
      <c r="V137" s="148">
        <v>36</v>
      </c>
      <c r="W137" s="148">
        <v>36</v>
      </c>
      <c r="X137" s="148">
        <f>SUM(T137:W137)</f>
        <v>72</v>
      </c>
      <c r="Y137" s="149">
        <v>36</v>
      </c>
      <c r="Z137" s="150">
        <v>-36</v>
      </c>
      <c r="AA137" s="150">
        <v>36</v>
      </c>
      <c r="AB137" s="150">
        <v>36</v>
      </c>
      <c r="AC137" s="150"/>
      <c r="AD137" s="149">
        <f>SUM(P137:S137)</f>
        <v>108</v>
      </c>
      <c r="AE137" s="150">
        <v>-36</v>
      </c>
      <c r="AF137" s="150">
        <v>36</v>
      </c>
      <c r="AG137" s="150">
        <v>36</v>
      </c>
      <c r="AH137" s="149">
        <f>SUM(AD137:AG137)</f>
        <v>144</v>
      </c>
      <c r="AI137" s="150">
        <v>-36</v>
      </c>
      <c r="AJ137" s="150">
        <v>36</v>
      </c>
      <c r="AK137" s="150">
        <v>36</v>
      </c>
      <c r="AL137" s="149">
        <f>SUM(AH137:AK137)</f>
        <v>180</v>
      </c>
      <c r="AM137" s="150">
        <v>-36</v>
      </c>
      <c r="AN137" s="150">
        <v>36</v>
      </c>
      <c r="AO137" s="150">
        <v>36</v>
      </c>
      <c r="AP137" s="149">
        <f>SUM(AL137:AO137)</f>
        <v>216</v>
      </c>
      <c r="AQ137" s="150">
        <v>-36</v>
      </c>
      <c r="AR137" s="150">
        <v>36</v>
      </c>
      <c r="AS137" s="150">
        <v>36</v>
      </c>
      <c r="AT137" s="149">
        <f>SUM(AP137:AS137)</f>
        <v>252</v>
      </c>
      <c r="AU137" s="150">
        <v>-36</v>
      </c>
      <c r="AV137" s="150">
        <v>36</v>
      </c>
      <c r="AW137" s="150">
        <v>36</v>
      </c>
      <c r="AX137" s="149">
        <f>SUM(AT137:AW137)</f>
        <v>288</v>
      </c>
      <c r="AY137" s="150">
        <v>-36</v>
      </c>
      <c r="AZ137" s="150">
        <v>36</v>
      </c>
      <c r="BA137" s="150">
        <v>36</v>
      </c>
      <c r="BB137" s="149">
        <f>SUM(AX137:BA137)</f>
        <v>324</v>
      </c>
      <c r="BC137" s="150">
        <v>-36</v>
      </c>
      <c r="BD137" s="150">
        <v>36</v>
      </c>
      <c r="BE137" s="150">
        <v>36</v>
      </c>
      <c r="BF137" s="149">
        <f>SUM(BB137:BE137)</f>
        <v>360</v>
      </c>
      <c r="BG137" s="150">
        <v>-36</v>
      </c>
      <c r="BH137" s="150">
        <v>36</v>
      </c>
      <c r="BI137" s="150">
        <v>36</v>
      </c>
      <c r="BJ137" s="149">
        <f>SUM(BF137:BI137)</f>
        <v>396</v>
      </c>
    </row>
    <row r="138" spans="1:62" ht="12.75" hidden="1" customHeight="1" thickTop="1" x14ac:dyDescent="0.2">
      <c r="D138" s="3" t="s">
        <v>136</v>
      </c>
      <c r="F138" s="23">
        <v>0</v>
      </c>
      <c r="G138" s="23" t="s">
        <v>48</v>
      </c>
      <c r="H138" s="23" t="s">
        <v>48</v>
      </c>
      <c r="I138" s="23" t="s">
        <v>48</v>
      </c>
      <c r="J138" s="23">
        <f>SUM(F138:I138)</f>
        <v>0</v>
      </c>
      <c r="K138" s="5">
        <v>0</v>
      </c>
      <c r="L138" s="5" t="s">
        <v>48</v>
      </c>
      <c r="M138" s="5" t="s">
        <v>48</v>
      </c>
      <c r="N138" s="5" t="s">
        <v>48</v>
      </c>
      <c r="P138" s="5">
        <f>SUM(K138:N138)</f>
        <v>0</v>
      </c>
      <c r="Q138" s="5" t="s">
        <v>48</v>
      </c>
      <c r="R138" s="5" t="s">
        <v>48</v>
      </c>
      <c r="S138" s="5" t="s">
        <v>48</v>
      </c>
      <c r="T138" s="23">
        <v>0</v>
      </c>
      <c r="U138" s="23" t="s">
        <v>48</v>
      </c>
      <c r="V138" s="23" t="s">
        <v>48</v>
      </c>
      <c r="W138" s="23" t="s">
        <v>48</v>
      </c>
      <c r="X138" s="23">
        <f>SUM(T138:W138)</f>
        <v>0</v>
      </c>
      <c r="Y138" s="5">
        <v>0</v>
      </c>
      <c r="Z138" s="5" t="s">
        <v>48</v>
      </c>
      <c r="AA138" s="5" t="s">
        <v>48</v>
      </c>
      <c r="AB138" s="5" t="s">
        <v>48</v>
      </c>
      <c r="AD138" s="5">
        <f>SUM(P138:S138)</f>
        <v>0</v>
      </c>
      <c r="AE138" s="5" t="s">
        <v>48</v>
      </c>
      <c r="AF138" s="5" t="s">
        <v>48</v>
      </c>
      <c r="AG138" s="5" t="s">
        <v>48</v>
      </c>
      <c r="AH138" s="5">
        <f>SUM(AD138:AG138)</f>
        <v>0</v>
      </c>
      <c r="AI138" s="5" t="s">
        <v>48</v>
      </c>
      <c r="AJ138" s="5" t="s">
        <v>48</v>
      </c>
      <c r="AK138" s="5" t="s">
        <v>48</v>
      </c>
      <c r="AL138" s="5">
        <f>SUM(AH138:AK138)</f>
        <v>0</v>
      </c>
      <c r="AM138" s="5" t="s">
        <v>48</v>
      </c>
      <c r="AN138" s="5" t="s">
        <v>48</v>
      </c>
      <c r="AO138" s="5" t="s">
        <v>48</v>
      </c>
      <c r="AP138" s="5">
        <f>SUM(AL138:AO138)</f>
        <v>0</v>
      </c>
      <c r="AQ138" s="5" t="s">
        <v>48</v>
      </c>
      <c r="AR138" s="5" t="s">
        <v>48</v>
      </c>
      <c r="AS138" s="5" t="s">
        <v>48</v>
      </c>
      <c r="AT138" s="5">
        <f>SUM(AP138:AS138)</f>
        <v>0</v>
      </c>
      <c r="AU138" s="5" t="s">
        <v>48</v>
      </c>
      <c r="AV138" s="5" t="s">
        <v>48</v>
      </c>
      <c r="AW138" s="5" t="s">
        <v>48</v>
      </c>
      <c r="AX138" s="5">
        <f>SUM(AT138:AW138)</f>
        <v>0</v>
      </c>
      <c r="AY138" s="5" t="s">
        <v>48</v>
      </c>
      <c r="AZ138" s="5" t="s">
        <v>48</v>
      </c>
      <c r="BA138" s="5" t="s">
        <v>48</v>
      </c>
      <c r="BB138" s="5">
        <f>SUM(AX138:BA138)</f>
        <v>0</v>
      </c>
      <c r="BC138" s="5" t="s">
        <v>48</v>
      </c>
      <c r="BD138" s="5" t="s">
        <v>48</v>
      </c>
      <c r="BE138" s="5" t="s">
        <v>48</v>
      </c>
      <c r="BF138" s="5">
        <f>SUM(BB138:BE138)</f>
        <v>0</v>
      </c>
      <c r="BG138" s="5" t="s">
        <v>48</v>
      </c>
      <c r="BH138" s="5" t="s">
        <v>48</v>
      </c>
      <c r="BI138" s="5" t="s">
        <v>48</v>
      </c>
      <c r="BJ138" s="5">
        <f>SUM(BF138:BI138)</f>
        <v>0</v>
      </c>
    </row>
    <row r="139" spans="1:62" ht="12.75" hidden="1" customHeight="1" x14ac:dyDescent="0.2">
      <c r="D139" s="3" t="s">
        <v>137</v>
      </c>
      <c r="F139" s="23">
        <v>-341</v>
      </c>
      <c r="G139" s="23" t="s">
        <v>48</v>
      </c>
      <c r="H139" s="23" t="s">
        <v>48</v>
      </c>
      <c r="I139" s="23" t="s">
        <v>48</v>
      </c>
      <c r="J139" s="23">
        <f>SUM(F139:I139)</f>
        <v>-341</v>
      </c>
      <c r="K139" s="5">
        <v>-341</v>
      </c>
      <c r="L139" s="5" t="s">
        <v>48</v>
      </c>
      <c r="M139" s="5" t="s">
        <v>48</v>
      </c>
      <c r="N139" s="5" t="s">
        <v>48</v>
      </c>
      <c r="P139" s="5">
        <f>SUM(K139:N139)</f>
        <v>-341</v>
      </c>
      <c r="Q139" s="5" t="s">
        <v>48</v>
      </c>
      <c r="R139" s="5" t="s">
        <v>48</v>
      </c>
      <c r="S139" s="5" t="s">
        <v>48</v>
      </c>
      <c r="T139" s="23">
        <v>-341</v>
      </c>
      <c r="U139" s="23" t="s">
        <v>48</v>
      </c>
      <c r="V139" s="23" t="s">
        <v>48</v>
      </c>
      <c r="W139" s="23" t="s">
        <v>48</v>
      </c>
      <c r="X139" s="23">
        <f>SUM(T139:W139)</f>
        <v>-341</v>
      </c>
      <c r="Y139" s="5">
        <v>-341</v>
      </c>
      <c r="Z139" s="5" t="s">
        <v>48</v>
      </c>
      <c r="AA139" s="5" t="s">
        <v>48</v>
      </c>
      <c r="AB139" s="5" t="s">
        <v>48</v>
      </c>
      <c r="AD139" s="5">
        <f>SUM(P139:S139)</f>
        <v>-341</v>
      </c>
      <c r="AE139" s="5" t="s">
        <v>48</v>
      </c>
      <c r="AF139" s="5" t="s">
        <v>48</v>
      </c>
      <c r="AG139" s="5" t="s">
        <v>48</v>
      </c>
      <c r="AH139" s="5">
        <f>SUM(AD139:AG139)</f>
        <v>-341</v>
      </c>
      <c r="AI139" s="5" t="s">
        <v>48</v>
      </c>
      <c r="AJ139" s="5" t="s">
        <v>48</v>
      </c>
      <c r="AK139" s="5" t="s">
        <v>48</v>
      </c>
      <c r="AL139" s="5">
        <f>SUM(AH139:AK139)</f>
        <v>-341</v>
      </c>
      <c r="AM139" s="5" t="s">
        <v>48</v>
      </c>
      <c r="AN139" s="5" t="s">
        <v>48</v>
      </c>
      <c r="AO139" s="5" t="s">
        <v>48</v>
      </c>
      <c r="AP139" s="5">
        <f>SUM(AL139:AO139)</f>
        <v>-341</v>
      </c>
      <c r="AQ139" s="5" t="s">
        <v>48</v>
      </c>
      <c r="AR139" s="5" t="s">
        <v>48</v>
      </c>
      <c r="AS139" s="5" t="s">
        <v>48</v>
      </c>
      <c r="AT139" s="5">
        <f>SUM(AP139:AS139)</f>
        <v>-341</v>
      </c>
      <c r="AU139" s="5" t="s">
        <v>48</v>
      </c>
      <c r="AV139" s="5" t="s">
        <v>48</v>
      </c>
      <c r="AW139" s="5" t="s">
        <v>48</v>
      </c>
      <c r="AX139" s="5">
        <f>SUM(AT139:AW139)</f>
        <v>-341</v>
      </c>
      <c r="AY139" s="5" t="s">
        <v>48</v>
      </c>
      <c r="AZ139" s="5" t="s">
        <v>48</v>
      </c>
      <c r="BA139" s="5" t="s">
        <v>48</v>
      </c>
      <c r="BB139" s="5">
        <f>SUM(AX139:BA139)</f>
        <v>-341</v>
      </c>
      <c r="BC139" s="5" t="s">
        <v>48</v>
      </c>
      <c r="BD139" s="5" t="s">
        <v>48</v>
      </c>
      <c r="BE139" s="5" t="s">
        <v>48</v>
      </c>
      <c r="BF139" s="5">
        <f>SUM(BB139:BE139)</f>
        <v>-341</v>
      </c>
      <c r="BG139" s="5" t="s">
        <v>48</v>
      </c>
      <c r="BH139" s="5" t="s">
        <v>48</v>
      </c>
      <c r="BI139" s="5" t="s">
        <v>48</v>
      </c>
      <c r="BJ139" s="5">
        <f>SUM(BF139:BI139)</f>
        <v>-341</v>
      </c>
    </row>
    <row r="140" spans="1:62" s="159" customFormat="1" ht="12.75" hidden="1" customHeight="1" x14ac:dyDescent="0.2">
      <c r="A140" s="151"/>
      <c r="B140" s="152"/>
      <c r="C140" s="151"/>
      <c r="D140" s="153"/>
      <c r="E140" s="153"/>
      <c r="F140" s="154">
        <v>20086.964</v>
      </c>
      <c r="G140" s="155"/>
      <c r="H140" s="155"/>
      <c r="I140" s="155"/>
      <c r="J140" s="155"/>
      <c r="K140" s="156">
        <v>20086.964</v>
      </c>
      <c r="L140" s="157"/>
      <c r="M140" s="157"/>
      <c r="N140" s="157"/>
      <c r="O140" s="157"/>
      <c r="P140" s="158"/>
      <c r="Q140" s="157"/>
      <c r="R140" s="157"/>
      <c r="S140" s="157"/>
      <c r="T140" s="154">
        <v>20086.964</v>
      </c>
      <c r="U140" s="155"/>
      <c r="V140" s="155"/>
      <c r="W140" s="155"/>
      <c r="X140" s="155"/>
      <c r="Y140" s="156">
        <v>20086.964</v>
      </c>
      <c r="Z140" s="157"/>
      <c r="AA140" s="157"/>
      <c r="AB140" s="157"/>
      <c r="AC140" s="157"/>
      <c r="AD140" s="158"/>
      <c r="AE140" s="157"/>
      <c r="AF140" s="157"/>
      <c r="AG140" s="157"/>
      <c r="AH140" s="158"/>
      <c r="AI140" s="157"/>
      <c r="AJ140" s="157"/>
      <c r="AK140" s="157"/>
      <c r="AL140" s="158"/>
      <c r="AM140" s="157"/>
      <c r="AN140" s="157"/>
      <c r="AO140" s="157"/>
      <c r="AP140" s="158"/>
      <c r="AQ140" s="157"/>
      <c r="AR140" s="157"/>
      <c r="AS140" s="157"/>
      <c r="AT140" s="158"/>
      <c r="AU140" s="157"/>
      <c r="AV140" s="157"/>
      <c r="AW140" s="157"/>
      <c r="AX140" s="158"/>
      <c r="AY140" s="157"/>
      <c r="AZ140" s="157"/>
      <c r="BA140" s="157"/>
      <c r="BB140" s="158"/>
      <c r="BC140" s="157"/>
      <c r="BD140" s="157"/>
      <c r="BE140" s="157"/>
      <c r="BF140" s="158"/>
      <c r="BG140" s="157"/>
      <c r="BH140" s="157"/>
      <c r="BI140" s="157"/>
      <c r="BJ140" s="158"/>
    </row>
    <row r="141" spans="1:62" s="159" customFormat="1" ht="12.75" hidden="1" customHeight="1" thickBot="1" x14ac:dyDescent="0.25">
      <c r="A141" s="151"/>
      <c r="B141" s="152"/>
      <c r="C141" s="151"/>
      <c r="D141" s="153"/>
      <c r="E141" s="153"/>
      <c r="F141" s="155"/>
      <c r="G141" s="155"/>
      <c r="H141" s="155"/>
      <c r="I141" s="155"/>
      <c r="J141" s="155"/>
      <c r="K141" s="158"/>
      <c r="L141" s="157"/>
      <c r="M141" s="157"/>
      <c r="N141" s="157"/>
      <c r="O141" s="157"/>
      <c r="P141" s="158"/>
      <c r="Q141" s="157"/>
      <c r="R141" s="157"/>
      <c r="S141" s="157"/>
      <c r="T141" s="155"/>
      <c r="U141" s="155"/>
      <c r="V141" s="155"/>
      <c r="W141" s="155"/>
      <c r="X141" s="155"/>
      <c r="Y141" s="158"/>
      <c r="Z141" s="157"/>
      <c r="AA141" s="157"/>
      <c r="AB141" s="157"/>
      <c r="AC141" s="157"/>
      <c r="AD141" s="158"/>
      <c r="AE141" s="157"/>
      <c r="AF141" s="157"/>
      <c r="AG141" s="157"/>
      <c r="AH141" s="158"/>
      <c r="AI141" s="157"/>
      <c r="AJ141" s="157"/>
      <c r="AK141" s="157"/>
      <c r="AL141" s="158"/>
      <c r="AM141" s="157"/>
      <c r="AN141" s="157"/>
      <c r="AO141" s="157"/>
      <c r="AP141" s="158"/>
      <c r="AQ141" s="157"/>
      <c r="AR141" s="157"/>
      <c r="AS141" s="157"/>
      <c r="AT141" s="158"/>
      <c r="AU141" s="157"/>
      <c r="AV141" s="157"/>
      <c r="AW141" s="157"/>
      <c r="AX141" s="158"/>
      <c r="AY141" s="157"/>
      <c r="AZ141" s="157"/>
      <c r="BA141" s="157"/>
      <c r="BB141" s="158"/>
      <c r="BC141" s="157"/>
      <c r="BD141" s="157"/>
      <c r="BE141" s="157"/>
      <c r="BF141" s="158"/>
      <c r="BG141" s="157"/>
      <c r="BH141" s="157"/>
      <c r="BI141" s="157"/>
      <c r="BJ141" s="158"/>
    </row>
    <row r="142" spans="1:62" s="159" customFormat="1" ht="12.75" hidden="1" customHeight="1" x14ac:dyDescent="0.25">
      <c r="A142" s="151"/>
      <c r="B142" s="152"/>
      <c r="C142" s="151"/>
      <c r="D142" s="160" t="s">
        <v>138</v>
      </c>
      <c r="E142" s="160"/>
      <c r="F142" s="155"/>
      <c r="G142" s="155"/>
      <c r="H142" s="155"/>
      <c r="I142" s="155"/>
      <c r="J142" s="155"/>
      <c r="K142" s="158"/>
      <c r="L142" s="157"/>
      <c r="M142" s="157"/>
      <c r="N142" s="157"/>
      <c r="O142" s="157"/>
      <c r="P142" s="158"/>
      <c r="Q142" s="157"/>
      <c r="R142" s="157"/>
      <c r="S142" s="157"/>
      <c r="T142" s="155"/>
      <c r="U142" s="155"/>
      <c r="V142" s="155"/>
      <c r="W142" s="155"/>
      <c r="X142" s="155"/>
      <c r="Y142" s="158"/>
      <c r="Z142" s="157"/>
      <c r="AA142" s="157"/>
      <c r="AB142" s="157"/>
      <c r="AC142" s="157"/>
      <c r="AD142" s="158"/>
      <c r="AE142" s="157"/>
      <c r="AF142" s="157"/>
      <c r="AG142" s="157"/>
      <c r="AH142" s="158"/>
      <c r="AI142" s="157"/>
      <c r="AJ142" s="157"/>
      <c r="AK142" s="157"/>
      <c r="AL142" s="158"/>
      <c r="AM142" s="157"/>
      <c r="AN142" s="157"/>
      <c r="AO142" s="157"/>
      <c r="AP142" s="158"/>
      <c r="AQ142" s="157"/>
      <c r="AR142" s="157"/>
      <c r="AS142" s="157"/>
      <c r="AT142" s="158"/>
      <c r="AU142" s="157"/>
      <c r="AV142" s="157"/>
      <c r="AW142" s="157"/>
      <c r="AX142" s="158"/>
      <c r="AY142" s="157"/>
      <c r="AZ142" s="157"/>
      <c r="BA142" s="157"/>
      <c r="BB142" s="158"/>
      <c r="BC142" s="157"/>
      <c r="BD142" s="157"/>
      <c r="BE142" s="157"/>
      <c r="BF142" s="158"/>
      <c r="BG142" s="157"/>
      <c r="BH142" s="157"/>
      <c r="BI142" s="157"/>
      <c r="BJ142" s="158"/>
    </row>
    <row r="143" spans="1:62" s="159" customFormat="1" ht="12.75" hidden="1" customHeight="1" x14ac:dyDescent="0.2">
      <c r="A143" s="151"/>
      <c r="B143" s="152"/>
      <c r="C143" s="151"/>
      <c r="D143" s="161" t="s">
        <v>139</v>
      </c>
      <c r="E143" s="161"/>
      <c r="F143" s="155"/>
      <c r="G143" s="155">
        <f>G39+G19+G11+G94+G43+G53+G13</f>
        <v>8954.8573400000005</v>
      </c>
      <c r="H143" s="155"/>
      <c r="I143" s="155"/>
      <c r="J143" s="155"/>
      <c r="K143" s="158"/>
      <c r="L143" s="157">
        <f>L39+L19+L11+L94+L43+L53+L13</f>
        <v>3784.8249999999998</v>
      </c>
      <c r="M143" s="157"/>
      <c r="N143" s="157"/>
      <c r="O143" s="157"/>
      <c r="P143" s="158"/>
      <c r="Q143" s="157">
        <f>Q19+Q11+Q94+Q43+Q53</f>
        <v>1431.625</v>
      </c>
      <c r="R143" s="157"/>
      <c r="S143" s="157"/>
      <c r="T143" s="155"/>
      <c r="U143" s="155">
        <f>U39+U19+U11+U94+U43+U53+U13</f>
        <v>3844.5789999999997</v>
      </c>
      <c r="V143" s="155"/>
      <c r="W143" s="155"/>
      <c r="X143" s="155"/>
      <c r="Y143" s="158"/>
      <c r="Z143" s="157">
        <f>Z39+Z19+Z11+Z94+Z43+Z53+Z13</f>
        <v>0</v>
      </c>
      <c r="AA143" s="157"/>
      <c r="AB143" s="157"/>
      <c r="AC143" s="157"/>
      <c r="AD143" s="158"/>
      <c r="AE143" s="157">
        <f>AE21+AE15+AE94+AE43+AE53+AE71+AE103</f>
        <v>3589.5689999999995</v>
      </c>
      <c r="AF143" s="157"/>
      <c r="AG143" s="157"/>
      <c r="AH143" s="158"/>
      <c r="AI143" s="157">
        <f>AI21+AI15+AI94+AI37+AI53+AI71+AI103+AI43</f>
        <v>1347.4650000000001</v>
      </c>
      <c r="AJ143" s="157"/>
      <c r="AK143" s="157"/>
      <c r="AL143" s="158"/>
      <c r="AM143" s="157">
        <f>AM21+AM15+AM94+AM37+AM53+AM71+AM103+AM43</f>
        <v>55.186000000000071</v>
      </c>
      <c r="AN143" s="157"/>
      <c r="AO143" s="157"/>
      <c r="AP143" s="158"/>
      <c r="AQ143" s="157">
        <f>AQ21+AQ15+AQ94+AQ37+AQ53+AQ71+AQ103+AQ43</f>
        <v>0</v>
      </c>
      <c r="AR143" s="157"/>
      <c r="AS143" s="157"/>
      <c r="AT143" s="158"/>
      <c r="AU143" s="157">
        <f>AU21+AU15+AU94+AU37+AU53+AU71+AU103+AU43</f>
        <v>0</v>
      </c>
      <c r="AV143" s="157"/>
      <c r="AW143" s="157"/>
      <c r="AX143" s="158"/>
      <c r="AY143" s="157">
        <f>AY21+AY15+AY94+AY37+AY53+AY71+AY103+AY43</f>
        <v>0</v>
      </c>
      <c r="AZ143" s="157"/>
      <c r="BA143" s="157"/>
      <c r="BB143" s="158"/>
      <c r="BC143" s="157">
        <f>BC21+BC15+BC94+BC37+BC53+BC71+BC103+BC43</f>
        <v>1378.4069999999999</v>
      </c>
      <c r="BD143" s="157"/>
      <c r="BE143" s="157"/>
      <c r="BF143" s="158"/>
      <c r="BG143" s="157">
        <f>BG21+BG15+BG94+BG37+BG53+BG71+BG103+BG43</f>
        <v>0</v>
      </c>
      <c r="BH143" s="157"/>
      <c r="BI143" s="157"/>
      <c r="BJ143" s="158"/>
    </row>
    <row r="144" spans="1:62" s="159" customFormat="1" ht="12.75" hidden="1" customHeight="1" x14ac:dyDescent="0.2">
      <c r="A144" s="151"/>
      <c r="B144" s="152"/>
      <c r="C144" s="151"/>
      <c r="D144" s="161" t="s">
        <v>140</v>
      </c>
      <c r="E144" s="161"/>
      <c r="F144" s="155"/>
      <c r="G144" s="155"/>
      <c r="H144" s="155">
        <f>H94+H15</f>
        <v>-518.77499999999998</v>
      </c>
      <c r="I144" s="155"/>
      <c r="J144" s="155"/>
      <c r="K144" s="158"/>
      <c r="L144" s="157"/>
      <c r="M144" s="157">
        <f>M94+M15</f>
        <v>-870.07500000000005</v>
      </c>
      <c r="N144" s="157"/>
      <c r="O144" s="157"/>
      <c r="P144" s="158"/>
      <c r="Q144" s="157"/>
      <c r="R144" s="157">
        <f>R94+R16</f>
        <v>-686.77499999999998</v>
      </c>
      <c r="S144" s="157"/>
      <c r="T144" s="155"/>
      <c r="U144" s="155"/>
      <c r="V144" s="155">
        <f>V94+V15</f>
        <v>-8739.8679999999986</v>
      </c>
      <c r="W144" s="155"/>
      <c r="X144" s="155"/>
      <c r="Y144" s="158"/>
      <c r="Z144" s="157"/>
      <c r="AA144" s="157">
        <f>AA94+AA15</f>
        <v>-1232.453</v>
      </c>
      <c r="AB144" s="157"/>
      <c r="AC144" s="157"/>
      <c r="AD144" s="158"/>
      <c r="AE144" s="157"/>
      <c r="AF144" s="157">
        <f>AF94+AF15+AF103+AF21</f>
        <v>-9899.0559999999987</v>
      </c>
      <c r="AG144" s="157"/>
      <c r="AH144" s="158"/>
      <c r="AI144" s="157"/>
      <c r="AJ144" s="157">
        <f>AJ94+AJ15+AJ103+AJ21</f>
        <v>-428.96199999999999</v>
      </c>
      <c r="AK144" s="157"/>
      <c r="AL144" s="158"/>
      <c r="AM144" s="157"/>
      <c r="AN144" s="157">
        <f>AN94+AN15+AN103+AN21</f>
        <v>-571.37099999999998</v>
      </c>
      <c r="AO144" s="157"/>
      <c r="AP144" s="158"/>
      <c r="AQ144" s="157"/>
      <c r="AR144" s="157">
        <f>AR94+AR15+AR103+AR21</f>
        <v>-1164.0320000000002</v>
      </c>
      <c r="AS144" s="157"/>
      <c r="AT144" s="158"/>
      <c r="AU144" s="157"/>
      <c r="AV144" s="157">
        <f>AV94+AV15+AV103+AV21</f>
        <v>-545.71299999999997</v>
      </c>
      <c r="AW144" s="157"/>
      <c r="AX144" s="158"/>
      <c r="AY144" s="157"/>
      <c r="AZ144" s="157">
        <f>AZ94+AZ15+AZ103+AZ21</f>
        <v>-368.20700000000005</v>
      </c>
      <c r="BA144" s="157"/>
      <c r="BB144" s="158"/>
      <c r="BC144" s="157"/>
      <c r="BD144" s="157">
        <f>BD94+BD15+BD103+BD21</f>
        <v>0</v>
      </c>
      <c r="BE144" s="157"/>
      <c r="BF144" s="158"/>
      <c r="BG144" s="157"/>
      <c r="BH144" s="157">
        <f>BH94+BH15+BH103+BH21</f>
        <v>0</v>
      </c>
      <c r="BI144" s="157"/>
      <c r="BJ144" s="158"/>
    </row>
    <row r="145" spans="1:63" s="159" customFormat="1" ht="12.75" hidden="1" customHeight="1" x14ac:dyDescent="0.2">
      <c r="A145" s="151"/>
      <c r="B145" s="152"/>
      <c r="C145" s="151"/>
      <c r="D145" s="153" t="s">
        <v>141</v>
      </c>
      <c r="E145" s="153"/>
      <c r="F145" s="155"/>
      <c r="G145" s="155"/>
      <c r="H145" s="155">
        <f>H71</f>
        <v>-474.62399999999997</v>
      </c>
      <c r="I145" s="155"/>
      <c r="J145" s="155"/>
      <c r="K145" s="158"/>
      <c r="L145" s="157"/>
      <c r="M145" s="157">
        <f>M71</f>
        <v>-514</v>
      </c>
      <c r="N145" s="157"/>
      <c r="O145" s="157"/>
      <c r="P145" s="158"/>
      <c r="Q145" s="157"/>
      <c r="R145" s="157">
        <f>R71</f>
        <v>-582.29999999999995</v>
      </c>
      <c r="S145" s="157"/>
      <c r="T145" s="155"/>
      <c r="U145" s="155"/>
      <c r="V145" s="155">
        <f>V71</f>
        <v>-720.755</v>
      </c>
      <c r="W145" s="155"/>
      <c r="X145" s="155"/>
      <c r="Y145" s="158"/>
      <c r="Z145" s="157"/>
      <c r="AA145" s="157">
        <f>AA71</f>
        <v>0</v>
      </c>
      <c r="AB145" s="157"/>
      <c r="AC145" s="157"/>
      <c r="AD145" s="158"/>
      <c r="AE145" s="157"/>
      <c r="AF145" s="157">
        <f>AF71</f>
        <v>-720.755</v>
      </c>
      <c r="AG145" s="157"/>
      <c r="AH145" s="158"/>
      <c r="AI145" s="157"/>
      <c r="AJ145" s="157">
        <f>AJ71</f>
        <v>-2455.1260000000002</v>
      </c>
      <c r="AK145" s="157"/>
      <c r="AL145" s="158"/>
      <c r="AM145" s="157"/>
      <c r="AN145" s="157">
        <f>AN71</f>
        <v>-2650.5369999999998</v>
      </c>
      <c r="AO145" s="157"/>
      <c r="AP145" s="158"/>
      <c r="AQ145" s="157"/>
      <c r="AR145" s="157">
        <f>AR71</f>
        <v>-787.58399999999995</v>
      </c>
      <c r="AS145" s="157"/>
      <c r="AT145" s="158"/>
      <c r="AU145" s="157"/>
      <c r="AV145" s="157">
        <f>AV71</f>
        <v>-60.021000000000001</v>
      </c>
      <c r="AW145" s="157"/>
      <c r="AX145" s="158"/>
      <c r="AY145" s="157"/>
      <c r="AZ145" s="157">
        <f>AZ71</f>
        <v>-60.021000000000001</v>
      </c>
      <c r="BA145" s="157"/>
      <c r="BB145" s="158"/>
      <c r="BC145" s="157"/>
      <c r="BD145" s="157">
        <f>BD71</f>
        <v>-60.021000000000001</v>
      </c>
      <c r="BE145" s="157"/>
      <c r="BF145" s="158"/>
      <c r="BG145" s="157"/>
      <c r="BH145" s="157">
        <f>BH71</f>
        <v>-60.021000000000001</v>
      </c>
      <c r="BI145" s="157"/>
      <c r="BJ145" s="158"/>
    </row>
    <row r="146" spans="1:63" s="159" customFormat="1" ht="12.75" hidden="1" customHeight="1" x14ac:dyDescent="0.2">
      <c r="A146" s="151"/>
      <c r="B146" s="152"/>
      <c r="C146" s="151"/>
      <c r="D146" s="161" t="s">
        <v>142</v>
      </c>
      <c r="E146" s="161"/>
      <c r="F146" s="155"/>
      <c r="G146" s="155"/>
      <c r="H146" s="155"/>
      <c r="I146" s="155"/>
      <c r="J146" s="155"/>
      <c r="K146" s="158"/>
      <c r="L146" s="157"/>
      <c r="M146" s="157"/>
      <c r="N146" s="157"/>
      <c r="O146" s="157"/>
      <c r="P146" s="158"/>
      <c r="Q146" s="157">
        <f>Q39</f>
        <v>3353.2</v>
      </c>
      <c r="R146" s="157"/>
      <c r="S146" s="157"/>
      <c r="T146" s="155"/>
      <c r="U146" s="155"/>
      <c r="V146" s="155"/>
      <c r="W146" s="155"/>
      <c r="X146" s="155"/>
      <c r="Y146" s="158"/>
      <c r="Z146" s="157"/>
      <c r="AA146" s="157"/>
      <c r="AB146" s="157"/>
      <c r="AC146" s="157"/>
      <c r="AD146" s="158"/>
      <c r="AE146" s="157">
        <f>AE39</f>
        <v>701.33199999999999</v>
      </c>
      <c r="AF146" s="157"/>
      <c r="AG146" s="157"/>
      <c r="AH146" s="158"/>
      <c r="AI146" s="157">
        <f>AI39</f>
        <v>1980.424</v>
      </c>
      <c r="AJ146" s="157"/>
      <c r="AK146" s="157"/>
      <c r="AL146" s="158"/>
      <c r="AM146" s="157">
        <f>AM39</f>
        <v>3449.2559999999999</v>
      </c>
      <c r="AN146" s="157"/>
      <c r="AO146" s="157"/>
      <c r="AP146" s="158"/>
      <c r="AQ146" s="157">
        <f>AQ39</f>
        <v>3697.3930000000009</v>
      </c>
      <c r="AR146" s="157"/>
      <c r="AS146" s="157"/>
      <c r="AT146" s="158"/>
      <c r="AU146" s="157">
        <f>AU39</f>
        <v>3644.7659999999996</v>
      </c>
      <c r="AV146" s="157"/>
      <c r="AW146" s="157"/>
      <c r="AX146" s="158"/>
      <c r="AY146" s="157">
        <f>AY39</f>
        <v>3513.0400000000004</v>
      </c>
      <c r="AZ146" s="157"/>
      <c r="BA146" s="157"/>
      <c r="BB146" s="158"/>
      <c r="BC146" s="157">
        <f>BC39</f>
        <v>3513.0400000000004</v>
      </c>
      <c r="BD146" s="157"/>
      <c r="BE146" s="157"/>
      <c r="BF146" s="158"/>
      <c r="BG146" s="157">
        <f>BG39</f>
        <v>3514.7</v>
      </c>
      <c r="BH146" s="157"/>
      <c r="BI146" s="157"/>
      <c r="BJ146" s="158"/>
    </row>
    <row r="147" spans="1:63" s="159" customFormat="1" ht="12.75" hidden="1" customHeight="1" x14ac:dyDescent="0.2">
      <c r="A147" s="151"/>
      <c r="B147" s="152"/>
      <c r="C147" s="151"/>
      <c r="D147" s="153" t="s">
        <v>143</v>
      </c>
      <c r="E147" s="153"/>
      <c r="F147" s="155"/>
      <c r="G147" s="155"/>
      <c r="H147" s="155">
        <v>0</v>
      </c>
      <c r="I147" s="155"/>
      <c r="J147" s="155"/>
      <c r="K147" s="158"/>
      <c r="L147" s="157"/>
      <c r="M147" s="157">
        <v>0</v>
      </c>
      <c r="N147" s="157"/>
      <c r="O147" s="157"/>
      <c r="P147" s="158"/>
      <c r="Q147" s="157"/>
      <c r="R147" s="157">
        <v>0</v>
      </c>
      <c r="S147" s="157"/>
      <c r="T147" s="155"/>
      <c r="U147" s="155"/>
      <c r="V147" s="155">
        <v>0</v>
      </c>
      <c r="W147" s="155"/>
      <c r="X147" s="155"/>
      <c r="Y147" s="158"/>
      <c r="Z147" s="157"/>
      <c r="AA147" s="157">
        <v>0</v>
      </c>
      <c r="AB147" s="157"/>
      <c r="AC147" s="157"/>
      <c r="AD147" s="158"/>
      <c r="AE147" s="157"/>
      <c r="AF147" s="157">
        <v>0</v>
      </c>
      <c r="AG147" s="157"/>
      <c r="AH147" s="158"/>
      <c r="AI147" s="157"/>
      <c r="AJ147" s="157">
        <v>0</v>
      </c>
      <c r="AK147" s="157"/>
      <c r="AL147" s="158"/>
      <c r="AM147" s="157"/>
      <c r="AN147" s="157">
        <v>0</v>
      </c>
      <c r="AO147" s="157"/>
      <c r="AP147" s="158"/>
      <c r="AQ147" s="157"/>
      <c r="AR147" s="157">
        <v>0</v>
      </c>
      <c r="AS147" s="157"/>
      <c r="AT147" s="158"/>
      <c r="AU147" s="157"/>
      <c r="AV147" s="157">
        <v>0</v>
      </c>
      <c r="AW147" s="157"/>
      <c r="AX147" s="158"/>
      <c r="AY147" s="157"/>
      <c r="AZ147" s="157">
        <v>0</v>
      </c>
      <c r="BA147" s="157"/>
      <c r="BB147" s="158"/>
      <c r="BC147" s="157"/>
      <c r="BD147" s="157">
        <v>0</v>
      </c>
      <c r="BE147" s="157"/>
      <c r="BF147" s="158"/>
      <c r="BG147" s="157"/>
      <c r="BH147" s="157">
        <v>0</v>
      </c>
      <c r="BI147" s="157"/>
      <c r="BJ147" s="158"/>
    </row>
    <row r="148" spans="1:63" s="159" customFormat="1" ht="12.75" hidden="1" customHeight="1" x14ac:dyDescent="0.2">
      <c r="A148" s="151"/>
      <c r="B148" s="152"/>
      <c r="C148" s="151"/>
      <c r="D148" s="153" t="s">
        <v>144</v>
      </c>
      <c r="E148" s="153"/>
      <c r="F148" s="155"/>
      <c r="G148" s="155">
        <f>G35+G37+G61</f>
        <v>1011</v>
      </c>
      <c r="H148" s="155"/>
      <c r="I148" s="155"/>
      <c r="J148" s="155"/>
      <c r="K148" s="158"/>
      <c r="L148" s="157">
        <f>L35+L37+L61</f>
        <v>995.4</v>
      </c>
      <c r="M148" s="157"/>
      <c r="N148" s="157"/>
      <c r="O148" s="157"/>
      <c r="P148" s="158"/>
      <c r="Q148" s="157">
        <f>Q35+Q37+Q62</f>
        <v>995.4</v>
      </c>
      <c r="R148" s="157"/>
      <c r="S148" s="157"/>
      <c r="T148" s="155"/>
      <c r="U148" s="155">
        <f>U35+U37+U61</f>
        <v>1044.9059999999999</v>
      </c>
      <c r="V148" s="155"/>
      <c r="W148" s="155"/>
      <c r="X148" s="155"/>
      <c r="Y148" s="158"/>
      <c r="Z148" s="157">
        <f>Z35+Z37+Z61</f>
        <v>0</v>
      </c>
      <c r="AA148" s="157"/>
      <c r="AB148" s="157"/>
      <c r="AC148" s="157"/>
      <c r="AD148" s="158"/>
      <c r="AE148" s="157">
        <f>AE35+AE37+AE62</f>
        <v>1044.9059999999999</v>
      </c>
      <c r="AF148" s="157"/>
      <c r="AG148" s="157"/>
      <c r="AH148" s="158"/>
      <c r="AI148" s="157">
        <f>AI35+AI37+AI62</f>
        <v>840.47</v>
      </c>
      <c r="AJ148" s="157"/>
      <c r="AK148" s="157"/>
      <c r="AL148" s="158"/>
      <c r="AM148" s="157">
        <f>AM35+AM37+AM62</f>
        <v>508.03800000000001</v>
      </c>
      <c r="AN148" s="157"/>
      <c r="AO148" s="157"/>
      <c r="AP148" s="158"/>
      <c r="AQ148" s="157">
        <f>AQ35+AQ37+AQ62</f>
        <v>508.03800000000001</v>
      </c>
      <c r="AR148" s="157"/>
      <c r="AS148" s="157"/>
      <c r="AT148" s="158"/>
      <c r="AU148" s="157">
        <f>AU35+AU37+AU62</f>
        <v>508.03800000000001</v>
      </c>
      <c r="AV148" s="157"/>
      <c r="AW148" s="157"/>
      <c r="AX148" s="158"/>
      <c r="AY148" s="157">
        <f>AY35+AY37+AY62</f>
        <v>508.03800000000001</v>
      </c>
      <c r="AZ148" s="157"/>
      <c r="BA148" s="157"/>
      <c r="BB148" s="158"/>
      <c r="BC148" s="157">
        <f>BC35+BC37+BC62</f>
        <v>508.03800000000001</v>
      </c>
      <c r="BD148" s="157"/>
      <c r="BE148" s="157"/>
      <c r="BF148" s="158"/>
      <c r="BG148" s="157">
        <f>BG35+BG37+BG62</f>
        <v>508.03800000000001</v>
      </c>
      <c r="BH148" s="157"/>
      <c r="BI148" s="157"/>
      <c r="BJ148" s="158"/>
      <c r="BK148" s="162"/>
    </row>
    <row r="149" spans="1:63" s="159" customFormat="1" ht="12.75" hidden="1" customHeight="1" x14ac:dyDescent="0.2">
      <c r="A149" s="151"/>
      <c r="B149" s="152"/>
      <c r="C149" s="151"/>
      <c r="D149" s="153" t="s">
        <v>145</v>
      </c>
      <c r="E149" s="153"/>
      <c r="F149" s="155"/>
      <c r="G149" s="155"/>
      <c r="H149" s="155">
        <f>H55</f>
        <v>-1679.248</v>
      </c>
      <c r="I149" s="155"/>
      <c r="J149" s="155"/>
      <c r="K149" s="158"/>
      <c r="L149" s="157"/>
      <c r="M149" s="157">
        <v>-8939</v>
      </c>
      <c r="N149" s="157"/>
      <c r="O149" s="157"/>
      <c r="P149" s="158"/>
      <c r="Q149" s="157"/>
      <c r="R149" s="157">
        <f>R55</f>
        <v>-9442.2999999999993</v>
      </c>
      <c r="S149" s="157"/>
      <c r="T149" s="155"/>
      <c r="U149" s="155"/>
      <c r="V149" s="155">
        <f>V55</f>
        <v>-5967.2380000000003</v>
      </c>
      <c r="W149" s="155"/>
      <c r="X149" s="155"/>
      <c r="Y149" s="158"/>
      <c r="Z149" s="157"/>
      <c r="AA149" s="157">
        <v>-8939</v>
      </c>
      <c r="AB149" s="157"/>
      <c r="AC149" s="157"/>
      <c r="AD149" s="158"/>
      <c r="AE149" s="157"/>
      <c r="AF149" s="157">
        <f>AF55</f>
        <v>-5967.2380000000003</v>
      </c>
      <c r="AG149" s="157"/>
      <c r="AH149" s="158"/>
      <c r="AI149" s="157"/>
      <c r="AJ149" s="157">
        <f>AJ55</f>
        <v>-11546.877</v>
      </c>
      <c r="AK149" s="157"/>
      <c r="AL149" s="158"/>
      <c r="AM149" s="157"/>
      <c r="AN149" s="157">
        <f>AN55</f>
        <v>-10493.371000000001</v>
      </c>
      <c r="AO149" s="157"/>
      <c r="AP149" s="158"/>
      <c r="AQ149" s="157"/>
      <c r="AR149" s="157">
        <f>AR55</f>
        <v>-4157.5829999999996</v>
      </c>
      <c r="AS149" s="157"/>
      <c r="AT149" s="158"/>
      <c r="AU149" s="157"/>
      <c r="AV149" s="157">
        <f>AV55</f>
        <v>-4655.2439999999997</v>
      </c>
      <c r="AW149" s="157"/>
      <c r="AX149" s="158"/>
      <c r="AY149" s="157"/>
      <c r="AZ149" s="157">
        <f>AZ55</f>
        <v>-3729.7479999999996</v>
      </c>
      <c r="BA149" s="157"/>
      <c r="BB149" s="158"/>
      <c r="BC149" s="157"/>
      <c r="BD149" s="157">
        <f>BD55</f>
        <v>-5570.7729999999992</v>
      </c>
      <c r="BE149" s="157"/>
      <c r="BF149" s="158"/>
      <c r="BG149" s="157"/>
      <c r="BH149" s="157">
        <f>BH55</f>
        <v>-2952.1840000000002</v>
      </c>
      <c r="BI149" s="157"/>
      <c r="BJ149" s="158"/>
      <c r="BK149" s="162"/>
    </row>
    <row r="150" spans="1:63" s="159" customFormat="1" ht="12.75" hidden="1" customHeight="1" x14ac:dyDescent="0.2">
      <c r="A150" s="151"/>
      <c r="B150" s="152"/>
      <c r="C150" s="151"/>
      <c r="D150" s="153" t="s">
        <v>146</v>
      </c>
      <c r="E150" s="153"/>
      <c r="F150" s="155"/>
      <c r="G150" s="155"/>
      <c r="H150" s="155"/>
      <c r="I150" s="155"/>
      <c r="J150" s="155"/>
      <c r="K150" s="158"/>
      <c r="L150" s="157"/>
      <c r="M150" s="157"/>
      <c r="N150" s="157"/>
      <c r="O150" s="157"/>
      <c r="P150" s="158"/>
      <c r="Q150" s="157"/>
      <c r="R150" s="157"/>
      <c r="S150" s="157"/>
      <c r="T150" s="155"/>
      <c r="U150" s="155"/>
      <c r="V150" s="155"/>
      <c r="W150" s="155"/>
      <c r="X150" s="155"/>
      <c r="Y150" s="158"/>
      <c r="Z150" s="157"/>
      <c r="AA150" s="157"/>
      <c r="AB150" s="157"/>
      <c r="AC150" s="157"/>
      <c r="AD150" s="158"/>
      <c r="AE150" s="157"/>
      <c r="AF150" s="157"/>
      <c r="AG150" s="157"/>
      <c r="AH150" s="158"/>
      <c r="AI150" s="157">
        <f>AI11</f>
        <v>0</v>
      </c>
      <c r="AJ150" s="157">
        <f t="shared" ref="AJ150" si="47">AJ11</f>
        <v>0</v>
      </c>
      <c r="AK150" s="157"/>
      <c r="AL150" s="158"/>
      <c r="AM150" s="157">
        <f>AM11</f>
        <v>0</v>
      </c>
      <c r="AN150" s="157">
        <f t="shared" ref="AN150" si="48">AN11</f>
        <v>2.2051804826617172E-14</v>
      </c>
      <c r="AO150" s="157"/>
      <c r="AP150" s="158"/>
      <c r="AQ150" s="157">
        <f>AQ11</f>
        <v>0</v>
      </c>
      <c r="AR150" s="157">
        <f t="shared" ref="AR150" si="49">AR11</f>
        <v>-664.03200000000004</v>
      </c>
      <c r="AS150" s="157"/>
      <c r="AT150" s="158"/>
      <c r="AU150" s="157">
        <f>AU11</f>
        <v>0</v>
      </c>
      <c r="AV150" s="157">
        <f t="shared" ref="AV150" si="50">AV11</f>
        <v>-545.71299999999997</v>
      </c>
      <c r="AW150" s="157"/>
      <c r="AX150" s="158"/>
      <c r="AY150" s="157">
        <f>AY11</f>
        <v>0</v>
      </c>
      <c r="AZ150" s="157">
        <f t="shared" ref="AZ150" si="51">AZ11</f>
        <v>-368.20700000000005</v>
      </c>
      <c r="BA150" s="157"/>
      <c r="BB150" s="158"/>
      <c r="BC150" s="157">
        <f>BC11</f>
        <v>0</v>
      </c>
      <c r="BD150" s="157">
        <f t="shared" ref="BD150" si="52">BD11</f>
        <v>0</v>
      </c>
      <c r="BE150" s="157"/>
      <c r="BF150" s="158"/>
      <c r="BG150" s="157">
        <f>BG11</f>
        <v>0</v>
      </c>
      <c r="BH150" s="157">
        <f t="shared" ref="BH150" si="53">BH11</f>
        <v>0</v>
      </c>
      <c r="BI150" s="157"/>
      <c r="BJ150" s="158"/>
      <c r="BK150" s="162"/>
    </row>
    <row r="151" spans="1:63" s="159" customFormat="1" ht="12.75" hidden="1" customHeight="1" thickBot="1" x14ac:dyDescent="0.25">
      <c r="A151" s="151"/>
      <c r="B151" s="152"/>
      <c r="C151" s="151"/>
      <c r="D151" s="153"/>
      <c r="E151" s="153"/>
      <c r="F151" s="155"/>
      <c r="G151" s="155"/>
      <c r="H151" s="155"/>
      <c r="I151" s="155"/>
      <c r="J151" s="155"/>
      <c r="K151" s="158"/>
      <c r="L151" s="157"/>
      <c r="M151" s="157"/>
      <c r="N151" s="157"/>
      <c r="O151" s="157"/>
      <c r="P151" s="158"/>
      <c r="Q151" s="157"/>
      <c r="R151" s="157"/>
      <c r="S151" s="157"/>
      <c r="T151" s="155"/>
      <c r="U151" s="155"/>
      <c r="V151" s="155"/>
      <c r="W151" s="155"/>
      <c r="X151" s="155"/>
      <c r="Y151" s="158"/>
      <c r="Z151" s="157"/>
      <c r="AA151" s="157"/>
      <c r="AB151" s="157"/>
      <c r="AC151" s="157"/>
      <c r="AD151" s="158"/>
      <c r="AE151" s="157"/>
      <c r="AF151" s="157"/>
      <c r="AG151" s="157"/>
      <c r="AH151" s="158"/>
      <c r="AI151" s="157"/>
      <c r="AJ151" s="157"/>
      <c r="AK151" s="157"/>
      <c r="AL151" s="158"/>
      <c r="AM151" s="157"/>
      <c r="AN151" s="157"/>
      <c r="AO151" s="157"/>
      <c r="AP151" s="158"/>
      <c r="AQ151" s="157"/>
      <c r="AR151" s="157"/>
      <c r="AS151" s="157"/>
      <c r="AT151" s="158"/>
      <c r="AU151" s="157"/>
      <c r="AV151" s="157"/>
      <c r="AW151" s="157"/>
      <c r="AX151" s="158"/>
      <c r="AY151" s="157"/>
      <c r="AZ151" s="157"/>
      <c r="BA151" s="157"/>
      <c r="BB151" s="158"/>
      <c r="BC151" s="157"/>
      <c r="BD151" s="157"/>
      <c r="BE151" s="157"/>
      <c r="BF151" s="158"/>
      <c r="BG151" s="157"/>
      <c r="BH151" s="157"/>
      <c r="BI151" s="157"/>
      <c r="BJ151" s="158"/>
      <c r="BK151" s="162"/>
    </row>
    <row r="152" spans="1:63" s="166" customFormat="1" ht="18" hidden="1" customHeight="1" thickBot="1" x14ac:dyDescent="0.3">
      <c r="A152" s="163"/>
      <c r="B152" s="164"/>
      <c r="C152" s="163"/>
      <c r="D152" s="160"/>
      <c r="E152" s="160"/>
      <c r="F152" s="42">
        <v>0</v>
      </c>
      <c r="G152" s="42">
        <f>SUM(G143:G151)</f>
        <v>9965.8573400000005</v>
      </c>
      <c r="H152" s="42">
        <f>SUM(H144:H151)</f>
        <v>-2672.6469999999999</v>
      </c>
      <c r="I152" s="42">
        <f>SUM(I143:I151)</f>
        <v>0</v>
      </c>
      <c r="J152" s="42">
        <f>SUM(J143:J151)</f>
        <v>0</v>
      </c>
      <c r="K152" s="44">
        <v>0</v>
      </c>
      <c r="L152" s="45">
        <f>SUM(L143:L151)</f>
        <v>4780.2249999999995</v>
      </c>
      <c r="M152" s="45">
        <f>SUM(M144:M151)</f>
        <v>-10323.075000000001</v>
      </c>
      <c r="N152" s="45">
        <f>SUM(N143:N151)</f>
        <v>0</v>
      </c>
      <c r="O152" s="45"/>
      <c r="P152" s="44">
        <f>SUM(P143:P151)</f>
        <v>0</v>
      </c>
      <c r="Q152" s="45">
        <f>SUM(Q143:Q151)</f>
        <v>5780.2249999999995</v>
      </c>
      <c r="R152" s="45">
        <f>SUM(R144:R151)</f>
        <v>-10711.375</v>
      </c>
      <c r="S152" s="45">
        <f>SUM(S143:S151)</f>
        <v>0</v>
      </c>
      <c r="T152" s="42">
        <v>0</v>
      </c>
      <c r="U152" s="42">
        <f>SUM(U143:U151)</f>
        <v>4889.4849999999997</v>
      </c>
      <c r="V152" s="42">
        <f>SUM(V144:V151)</f>
        <v>-15427.860999999997</v>
      </c>
      <c r="W152" s="42">
        <f>SUM(W143:W151)</f>
        <v>0</v>
      </c>
      <c r="X152" s="42">
        <f>SUM(X143:X151)</f>
        <v>0</v>
      </c>
      <c r="Y152" s="44">
        <v>0</v>
      </c>
      <c r="Z152" s="45">
        <f>SUM(Z143:Z151)</f>
        <v>0</v>
      </c>
      <c r="AA152" s="45">
        <f>SUM(AA144:AA151)</f>
        <v>-10171.453</v>
      </c>
      <c r="AB152" s="45">
        <f>SUM(AB143:AB151)</f>
        <v>0</v>
      </c>
      <c r="AC152" s="45"/>
      <c r="AD152" s="44">
        <f>SUM(AD143:AD151)</f>
        <v>0</v>
      </c>
      <c r="AE152" s="45">
        <f>SUM(AE143:AE151)</f>
        <v>5335.8069999999998</v>
      </c>
      <c r="AF152" s="45">
        <f>SUM(AF144:AF151)</f>
        <v>-16587.048999999999</v>
      </c>
      <c r="AG152" s="45">
        <f>SUM(AG143:AG151)</f>
        <v>0</v>
      </c>
      <c r="AH152" s="44">
        <f>SUM(AH143:AH151)</f>
        <v>0</v>
      </c>
      <c r="AI152" s="45">
        <f>SUM(AI143:AI151)</f>
        <v>4168.3590000000004</v>
      </c>
      <c r="AJ152" s="45">
        <f>SUM(AJ144:AJ151)</f>
        <v>-14430.965</v>
      </c>
      <c r="AK152" s="45">
        <f>SUM(AK143:AK151)</f>
        <v>0</v>
      </c>
      <c r="AL152" s="44">
        <f>SUM(AL143:AL151)</f>
        <v>0</v>
      </c>
      <c r="AM152" s="45">
        <f>SUM(AM143:AM151)</f>
        <v>4012.48</v>
      </c>
      <c r="AN152" s="45">
        <f>SUM(AN144:AN151)</f>
        <v>-13715.279</v>
      </c>
      <c r="AO152" s="45">
        <f>SUM(AO143:AO151)</f>
        <v>0</v>
      </c>
      <c r="AP152" s="44">
        <f>SUM(AP143:AP151)</f>
        <v>0</v>
      </c>
      <c r="AQ152" s="45">
        <f>SUM(AQ143:AQ151)</f>
        <v>4205.4310000000005</v>
      </c>
      <c r="AR152" s="45">
        <f>SUM(AR144:AR151)</f>
        <v>-6773.2309999999998</v>
      </c>
      <c r="AS152" s="45">
        <f>SUM(AS143:AS151)</f>
        <v>0</v>
      </c>
      <c r="AT152" s="44">
        <f>SUM(AT143:AT151)</f>
        <v>0</v>
      </c>
      <c r="AU152" s="45">
        <f>SUM(AU143:AU151)</f>
        <v>4152.8040000000001</v>
      </c>
      <c r="AV152" s="45">
        <f>SUM(AV144:AV151)</f>
        <v>-5806.6909999999989</v>
      </c>
      <c r="AW152" s="45">
        <f>SUM(AW143:AW151)</f>
        <v>0</v>
      </c>
      <c r="AX152" s="44">
        <f>SUM(AX143:AX151)</f>
        <v>0</v>
      </c>
      <c r="AY152" s="45">
        <f>SUM(AY143:AY151)</f>
        <v>4021.0780000000004</v>
      </c>
      <c r="AZ152" s="45">
        <f>SUM(AZ144:AZ151)</f>
        <v>-4526.183</v>
      </c>
      <c r="BA152" s="45">
        <f>SUM(BA143:BA151)</f>
        <v>0</v>
      </c>
      <c r="BB152" s="44">
        <f>SUM(BB143:BB151)</f>
        <v>0</v>
      </c>
      <c r="BC152" s="45">
        <f>SUM(BC143:BC151)</f>
        <v>5399.4850000000006</v>
      </c>
      <c r="BD152" s="45">
        <f>SUM(BD144:BD151)</f>
        <v>-5630.793999999999</v>
      </c>
      <c r="BE152" s="45">
        <f>SUM(BE143:BE151)</f>
        <v>0</v>
      </c>
      <c r="BF152" s="44">
        <f>SUM(BF143:BF151)</f>
        <v>0</v>
      </c>
      <c r="BG152" s="45">
        <f>SUM(BG143:BG151)</f>
        <v>4022.7379999999998</v>
      </c>
      <c r="BH152" s="45">
        <f>SUM(BH144:BH151)</f>
        <v>-3012.2050000000004</v>
      </c>
      <c r="BI152" s="45">
        <f>SUM(BI143:BI151)</f>
        <v>0</v>
      </c>
      <c r="BJ152" s="44">
        <f>SUM(BJ143:BJ151)</f>
        <v>0</v>
      </c>
      <c r="BK152" s="165"/>
    </row>
    <row r="153" spans="1:63" s="159" customFormat="1" ht="12.75" hidden="1" customHeight="1" thickTop="1" x14ac:dyDescent="0.2">
      <c r="A153" s="151"/>
      <c r="B153" s="152"/>
      <c r="C153" s="151"/>
      <c r="D153" s="153"/>
      <c r="E153" s="153"/>
      <c r="F153" s="155"/>
      <c r="G153" s="155"/>
      <c r="H153" s="155"/>
      <c r="I153" s="155"/>
      <c r="J153" s="155"/>
      <c r="K153" s="158"/>
      <c r="L153" s="157"/>
      <c r="M153" s="157"/>
      <c r="N153" s="157"/>
      <c r="O153" s="157"/>
      <c r="P153" s="158"/>
      <c r="Q153" s="157"/>
      <c r="R153" s="157"/>
      <c r="S153" s="157"/>
      <c r="T153" s="155"/>
      <c r="U153" s="155"/>
      <c r="V153" s="155"/>
      <c r="W153" s="155"/>
      <c r="X153" s="155"/>
      <c r="Y153" s="158"/>
      <c r="Z153" s="157"/>
      <c r="AA153" s="157"/>
      <c r="AB153" s="157"/>
      <c r="AC153" s="157"/>
      <c r="AD153" s="158"/>
      <c r="AE153" s="157"/>
      <c r="AF153" s="157"/>
      <c r="AG153" s="157"/>
      <c r="AH153" s="158"/>
      <c r="AI153" s="157"/>
      <c r="AJ153" s="157"/>
      <c r="AK153" s="157"/>
      <c r="AL153" s="158"/>
      <c r="AM153" s="157"/>
      <c r="AN153" s="157"/>
      <c r="AO153" s="157"/>
      <c r="AP153" s="158"/>
      <c r="AQ153" s="157"/>
      <c r="AR153" s="157"/>
      <c r="AS153" s="157"/>
      <c r="AT153" s="158"/>
      <c r="AU153" s="157"/>
      <c r="AV153" s="157"/>
      <c r="AW153" s="157"/>
      <c r="AX153" s="158"/>
      <c r="AY153" s="157"/>
      <c r="AZ153" s="157"/>
      <c r="BA153" s="157"/>
      <c r="BB153" s="158"/>
      <c r="BC153" s="157"/>
      <c r="BD153" s="157"/>
      <c r="BE153" s="157"/>
      <c r="BF153" s="158"/>
      <c r="BG153" s="157"/>
      <c r="BH153" s="157"/>
      <c r="BI153" s="157"/>
      <c r="BJ153" s="158"/>
      <c r="BK153" s="162"/>
    </row>
    <row r="154" spans="1:63" s="159" customFormat="1" ht="12.75" hidden="1" customHeight="1" thickBot="1" x14ac:dyDescent="0.25">
      <c r="A154" s="151"/>
      <c r="B154" s="152"/>
      <c r="C154" s="151"/>
      <c r="D154" s="153" t="s">
        <v>147</v>
      </c>
      <c r="E154" s="153"/>
      <c r="F154" s="155"/>
      <c r="G154" s="167" t="e">
        <f>#REF!-G152</f>
        <v>#REF!</v>
      </c>
      <c r="H154" s="167" t="e">
        <f>#REF!-H152</f>
        <v>#REF!</v>
      </c>
      <c r="I154" s="155"/>
      <c r="J154" s="155"/>
      <c r="K154" s="158"/>
      <c r="L154" s="168" t="e">
        <f>#REF!-L152</f>
        <v>#REF!</v>
      </c>
      <c r="M154" s="168" t="e">
        <f>#REF!-M152</f>
        <v>#REF!</v>
      </c>
      <c r="N154" s="157"/>
      <c r="O154" s="157"/>
      <c r="P154" s="158"/>
      <c r="Q154" s="168" t="e">
        <f>#REF!-Q152</f>
        <v>#REF!</v>
      </c>
      <c r="R154" s="168" t="e">
        <f>#REF!-R152</f>
        <v>#REF!</v>
      </c>
      <c r="S154" s="157"/>
      <c r="T154" s="155"/>
      <c r="U154" s="167" t="e">
        <f>#REF!-U152</f>
        <v>#REF!</v>
      </c>
      <c r="V154" s="167" t="e">
        <f>#REF!-V152</f>
        <v>#REF!</v>
      </c>
      <c r="W154" s="155"/>
      <c r="X154" s="155"/>
      <c r="Y154" s="158"/>
      <c r="Z154" s="168" t="e">
        <f>#REF!-Z152</f>
        <v>#REF!</v>
      </c>
      <c r="AA154" s="168" t="e">
        <f>#REF!-AA152</f>
        <v>#REF!</v>
      </c>
      <c r="AB154" s="157"/>
      <c r="AC154" s="157"/>
      <c r="AD154" s="158"/>
      <c r="AE154" s="168" t="e">
        <f>#REF!-AE152</f>
        <v>#REF!</v>
      </c>
      <c r="AF154" s="168" t="e">
        <f>#REF!-AF152</f>
        <v>#REF!</v>
      </c>
      <c r="AG154" s="157"/>
      <c r="AH154" s="158"/>
      <c r="AI154" s="168">
        <f>AI108+AI31-AI152</f>
        <v>2100</v>
      </c>
      <c r="AJ154" s="168">
        <f>AJ108+AJ31-AJ152</f>
        <v>0</v>
      </c>
      <c r="AK154" s="157"/>
      <c r="AL154" s="158"/>
      <c r="AM154" s="168">
        <f>AM108+AM31-AM152</f>
        <v>0</v>
      </c>
      <c r="AN154" s="168">
        <f>AN108+AN31-AN152</f>
        <v>0</v>
      </c>
      <c r="AO154" s="157"/>
      <c r="AP154" s="158"/>
      <c r="AQ154" s="168">
        <f>AQ108+AQ31-AQ152</f>
        <v>0</v>
      </c>
      <c r="AR154" s="168">
        <f>AR108+AR31-AR152</f>
        <v>0</v>
      </c>
      <c r="AS154" s="157"/>
      <c r="AT154" s="158"/>
      <c r="AU154" s="168">
        <f>AU108+AU31-AU152</f>
        <v>0</v>
      </c>
      <c r="AV154" s="168">
        <f>AV108+AV31-AV152</f>
        <v>0</v>
      </c>
      <c r="AW154" s="157"/>
      <c r="AX154" s="158"/>
      <c r="AY154" s="168">
        <f>AY108+AY31-AY152</f>
        <v>0</v>
      </c>
      <c r="AZ154" s="168">
        <f>AZ108+AZ31-AZ152</f>
        <v>0</v>
      </c>
      <c r="BA154" s="157"/>
      <c r="BB154" s="158"/>
      <c r="BC154" s="168">
        <f>BC108+BC31-BC152</f>
        <v>0</v>
      </c>
      <c r="BD154" s="168">
        <f>BD108+BD31-BD152</f>
        <v>0</v>
      </c>
      <c r="BE154" s="157"/>
      <c r="BF154" s="158"/>
      <c r="BG154" s="168">
        <f>BG108+BG31-BG152</f>
        <v>0</v>
      </c>
      <c r="BH154" s="168">
        <f>BH108+BH31-BH152</f>
        <v>0</v>
      </c>
      <c r="BI154" s="157"/>
      <c r="BJ154" s="158"/>
      <c r="BK154" s="162"/>
    </row>
    <row r="155" spans="1:63" s="159" customFormat="1" ht="12.75" hidden="1" customHeight="1" thickTop="1" x14ac:dyDescent="0.2">
      <c r="A155" s="151"/>
      <c r="B155" s="152"/>
      <c r="C155" s="151"/>
      <c r="D155" s="153"/>
      <c r="E155" s="153"/>
      <c r="F155" s="155"/>
      <c r="G155" s="155"/>
      <c r="H155" s="155"/>
      <c r="I155" s="155"/>
      <c r="J155" s="155"/>
      <c r="K155" s="158"/>
      <c r="L155" s="157"/>
      <c r="M155" s="157"/>
      <c r="N155" s="157"/>
      <c r="O155" s="157"/>
      <c r="P155" s="158"/>
      <c r="Q155" s="157"/>
      <c r="R155" s="157"/>
      <c r="S155" s="157"/>
      <c r="T155" s="155"/>
      <c r="U155" s="155"/>
      <c r="V155" s="155"/>
      <c r="W155" s="155"/>
      <c r="X155" s="155"/>
      <c r="Y155" s="158"/>
      <c r="Z155" s="157"/>
      <c r="AA155" s="157"/>
      <c r="AB155" s="157"/>
      <c r="AC155" s="157"/>
      <c r="AD155" s="158"/>
      <c r="AE155" s="157"/>
      <c r="AF155" s="157"/>
      <c r="AG155" s="157"/>
      <c r="AH155" s="158"/>
      <c r="AI155" s="157"/>
      <c r="AJ155" s="157"/>
      <c r="AK155" s="157"/>
      <c r="AL155" s="158"/>
      <c r="AM155" s="157"/>
      <c r="AN155" s="157"/>
      <c r="AO155" s="157"/>
      <c r="AP155" s="158"/>
      <c r="AQ155" s="157"/>
      <c r="AR155" s="157"/>
      <c r="AS155" s="157"/>
      <c r="AT155" s="158"/>
      <c r="AU155" s="157"/>
      <c r="AV155" s="157"/>
      <c r="AW155" s="157"/>
      <c r="AX155" s="158"/>
      <c r="AY155" s="157"/>
      <c r="AZ155" s="157"/>
      <c r="BA155" s="157"/>
      <c r="BB155" s="158"/>
      <c r="BC155" s="157"/>
      <c r="BD155" s="157"/>
      <c r="BE155" s="157"/>
      <c r="BF155" s="158"/>
      <c r="BG155" s="157"/>
      <c r="BH155" s="157"/>
      <c r="BI155" s="157"/>
      <c r="BJ155" s="158"/>
      <c r="BK155" s="162"/>
    </row>
    <row r="156" spans="1:63" s="159" customFormat="1" ht="12.75" hidden="1" customHeight="1" x14ac:dyDescent="0.25">
      <c r="A156" s="151"/>
      <c r="B156" s="152"/>
      <c r="C156" s="151"/>
      <c r="D156" s="160" t="s">
        <v>148</v>
      </c>
      <c r="E156" s="160"/>
      <c r="F156" s="155"/>
      <c r="G156" s="155"/>
      <c r="H156" s="155"/>
      <c r="I156" s="169" t="s">
        <v>149</v>
      </c>
      <c r="J156" s="155"/>
      <c r="K156" s="158"/>
      <c r="L156" s="157"/>
      <c r="M156" s="157"/>
      <c r="N156" s="170" t="s">
        <v>149</v>
      </c>
      <c r="O156" s="170"/>
      <c r="P156" s="158"/>
      <c r="Q156" s="157"/>
      <c r="R156" s="157"/>
      <c r="S156" s="170" t="s">
        <v>149</v>
      </c>
      <c r="T156" s="155"/>
      <c r="U156" s="155"/>
      <c r="V156" s="155"/>
      <c r="W156" s="169" t="s">
        <v>149</v>
      </c>
      <c r="X156" s="155"/>
      <c r="Y156" s="158"/>
      <c r="Z156" s="157"/>
      <c r="AA156" s="157"/>
      <c r="AB156" s="170" t="s">
        <v>149</v>
      </c>
      <c r="AC156" s="170"/>
      <c r="AD156" s="158"/>
      <c r="AE156" s="157"/>
      <c r="AF156" s="157"/>
      <c r="AG156" s="170" t="s">
        <v>149</v>
      </c>
      <c r="AH156" s="158"/>
      <c r="AI156" s="157"/>
      <c r="AJ156" s="157"/>
      <c r="AK156" s="170" t="s">
        <v>149</v>
      </c>
      <c r="AL156" s="5"/>
      <c r="AM156" s="157"/>
      <c r="AN156" s="157"/>
      <c r="AO156" s="170" t="s">
        <v>149</v>
      </c>
      <c r="AP156" s="158"/>
      <c r="AQ156" s="157"/>
      <c r="AR156" s="157"/>
      <c r="AS156" s="170" t="s">
        <v>149</v>
      </c>
      <c r="AT156" s="158"/>
      <c r="AU156" s="157"/>
      <c r="AV156" s="157"/>
      <c r="AW156" s="170" t="s">
        <v>149</v>
      </c>
      <c r="AX156" s="158"/>
      <c r="AY156" s="157"/>
      <c r="AZ156" s="157"/>
      <c r="BA156" s="170" t="s">
        <v>149</v>
      </c>
      <c r="BB156" s="158"/>
      <c r="BC156" s="157"/>
      <c r="BD156" s="157"/>
      <c r="BE156" s="170" t="s">
        <v>149</v>
      </c>
      <c r="BF156" s="158"/>
      <c r="BG156" s="157"/>
      <c r="BH156" s="157"/>
      <c r="BI156" s="170" t="s">
        <v>149</v>
      </c>
      <c r="BJ156" s="158"/>
      <c r="BK156" s="162"/>
    </row>
    <row r="157" spans="1:63" s="159" customFormat="1" ht="12.75" hidden="1" customHeight="1" x14ac:dyDescent="0.2">
      <c r="A157" s="151"/>
      <c r="B157" s="152"/>
      <c r="C157" s="151"/>
      <c r="D157" s="153" t="s">
        <v>142</v>
      </c>
      <c r="E157" s="153"/>
      <c r="F157" s="155"/>
      <c r="G157" s="155">
        <f>G39</f>
        <v>3430.2910000000002</v>
      </c>
      <c r="H157" s="155"/>
      <c r="I157" s="155">
        <f t="shared" ref="I157:I163" si="54">SUM(G157:H157)</f>
        <v>3430.2910000000002</v>
      </c>
      <c r="J157" s="155"/>
      <c r="K157" s="158"/>
      <c r="L157" s="157">
        <f>L39</f>
        <v>3353.2</v>
      </c>
      <c r="M157" s="157"/>
      <c r="N157" s="157">
        <f t="shared" ref="N157:N163" si="55">SUM(L157:M157)</f>
        <v>3353.2</v>
      </c>
      <c r="O157" s="157"/>
      <c r="P157" s="158"/>
      <c r="Q157" s="157">
        <f>Q39</f>
        <v>3353.2</v>
      </c>
      <c r="R157" s="157"/>
      <c r="S157" s="157">
        <f t="shared" ref="S157:S163" si="56">SUM(Q157:R157)</f>
        <v>3353.2</v>
      </c>
      <c r="T157" s="155"/>
      <c r="U157" s="155">
        <f>U39</f>
        <v>701.33199999999999</v>
      </c>
      <c r="V157" s="155"/>
      <c r="W157" s="155">
        <f t="shared" ref="W157:W163" si="57">SUM(U157:V157)</f>
        <v>701.33199999999999</v>
      </c>
      <c r="X157" s="155"/>
      <c r="Y157" s="158"/>
      <c r="Z157" s="157">
        <f>Z39</f>
        <v>0</v>
      </c>
      <c r="AA157" s="157"/>
      <c r="AB157" s="157">
        <f t="shared" ref="AB157:AB163" si="58">SUM(Z157:AA157)</f>
        <v>0</v>
      </c>
      <c r="AC157" s="157"/>
      <c r="AD157" s="158"/>
      <c r="AE157" s="157">
        <f>AE39</f>
        <v>701.33199999999999</v>
      </c>
      <c r="AF157" s="157"/>
      <c r="AG157" s="157">
        <f t="shared" ref="AG157:AG163" si="59">SUM(AE157:AF157)</f>
        <v>701.33199999999999</v>
      </c>
      <c r="AH157" s="158"/>
      <c r="AI157" s="157">
        <f>AI39</f>
        <v>1980.424</v>
      </c>
      <c r="AJ157" s="157"/>
      <c r="AK157" s="157">
        <f t="shared" ref="AK157:AK163" si="60">SUM(AI157:AJ157)</f>
        <v>1980.424</v>
      </c>
      <c r="AL157" s="5"/>
      <c r="AM157" s="157">
        <f>AM39</f>
        <v>3449.2559999999999</v>
      </c>
      <c r="AN157" s="157"/>
      <c r="AO157" s="157">
        <f t="shared" ref="AO157:AO163" si="61">SUM(AM157:AN157)</f>
        <v>3449.2559999999999</v>
      </c>
      <c r="AP157" s="158"/>
      <c r="AQ157" s="157">
        <f>AQ39</f>
        <v>3697.3930000000009</v>
      </c>
      <c r="AR157" s="157"/>
      <c r="AS157" s="157">
        <f t="shared" ref="AS157:AS163" si="62">SUM(AQ157:AR157)</f>
        <v>3697.3930000000009</v>
      </c>
      <c r="AT157" s="158"/>
      <c r="AU157" s="157">
        <f>AU39</f>
        <v>3644.7659999999996</v>
      </c>
      <c r="AV157" s="157"/>
      <c r="AW157" s="157">
        <f t="shared" ref="AW157:AW163" si="63">SUM(AU157:AV157)</f>
        <v>3644.7659999999996</v>
      </c>
      <c r="AX157" s="158"/>
      <c r="AY157" s="157">
        <f>AY39</f>
        <v>3513.0400000000004</v>
      </c>
      <c r="AZ157" s="157"/>
      <c r="BA157" s="157">
        <f t="shared" ref="BA157:BA163" si="64">SUM(AY157:AZ157)</f>
        <v>3513.0400000000004</v>
      </c>
      <c r="BB157" s="158"/>
      <c r="BC157" s="157">
        <f>BC39</f>
        <v>3513.0400000000004</v>
      </c>
      <c r="BD157" s="157"/>
      <c r="BE157" s="157">
        <f t="shared" ref="BE157:BE163" si="65">SUM(BC157:BD157)</f>
        <v>3513.0400000000004</v>
      </c>
      <c r="BF157" s="158"/>
      <c r="BG157" s="157">
        <f>BG39</f>
        <v>3514.7</v>
      </c>
      <c r="BH157" s="157"/>
      <c r="BI157" s="157">
        <f t="shared" ref="BI157:BI163" si="66">SUM(BG157:BH157)</f>
        <v>3514.7</v>
      </c>
      <c r="BJ157" s="158"/>
      <c r="BK157" s="162"/>
    </row>
    <row r="158" spans="1:63" s="159" customFormat="1" ht="12.75" hidden="1" customHeight="1" x14ac:dyDescent="0.2">
      <c r="A158" s="151"/>
      <c r="B158" s="152"/>
      <c r="C158" s="151"/>
      <c r="D158" s="153" t="s">
        <v>150</v>
      </c>
      <c r="E158" s="153"/>
      <c r="F158" s="155"/>
      <c r="G158" s="155" t="e">
        <f>G19+#REF!</f>
        <v>#REF!</v>
      </c>
      <c r="H158" s="155">
        <f>H19</f>
        <v>-32.911999999999999</v>
      </c>
      <c r="I158" s="155" t="e">
        <f t="shared" si="54"/>
        <v>#REF!</v>
      </c>
      <c r="J158" s="155"/>
      <c r="K158" s="158"/>
      <c r="L158" s="157" t="e">
        <f>L19+#REF!</f>
        <v>#REF!</v>
      </c>
      <c r="M158" s="157">
        <f>M19</f>
        <v>0</v>
      </c>
      <c r="N158" s="157" t="e">
        <f t="shared" si="55"/>
        <v>#REF!</v>
      </c>
      <c r="O158" s="157"/>
      <c r="P158" s="158"/>
      <c r="Q158" s="157" t="e">
        <f>Q19+#REF!</f>
        <v>#REF!</v>
      </c>
      <c r="R158" s="157">
        <f>R19</f>
        <v>0</v>
      </c>
      <c r="S158" s="157" t="e">
        <f t="shared" si="56"/>
        <v>#REF!</v>
      </c>
      <c r="T158" s="155"/>
      <c r="U158" s="155" t="e">
        <f>U19+#REF!</f>
        <v>#REF!</v>
      </c>
      <c r="V158" s="155">
        <f>V19</f>
        <v>-700.20600000000002</v>
      </c>
      <c r="W158" s="155" t="e">
        <f t="shared" si="57"/>
        <v>#REF!</v>
      </c>
      <c r="X158" s="155"/>
      <c r="Y158" s="158"/>
      <c r="Z158" s="157" t="e">
        <f>Z19+#REF!</f>
        <v>#REF!</v>
      </c>
      <c r="AA158" s="157">
        <f>AA19</f>
        <v>0</v>
      </c>
      <c r="AB158" s="157" t="e">
        <f t="shared" si="58"/>
        <v>#REF!</v>
      </c>
      <c r="AC158" s="157"/>
      <c r="AD158" s="158"/>
      <c r="AE158" s="157" t="e">
        <f>AE19+#REF!</f>
        <v>#REF!</v>
      </c>
      <c r="AF158" s="157">
        <f>AF19</f>
        <v>-700.20600000000002</v>
      </c>
      <c r="AG158" s="157" t="e">
        <f t="shared" si="59"/>
        <v>#REF!</v>
      </c>
      <c r="AH158" s="158"/>
      <c r="AI158" s="157">
        <f>AI19</f>
        <v>0</v>
      </c>
      <c r="AJ158" s="157">
        <f>AJ19</f>
        <v>0</v>
      </c>
      <c r="AK158" s="157">
        <f t="shared" si="60"/>
        <v>0</v>
      </c>
      <c r="AL158" s="5"/>
      <c r="AM158" s="157">
        <f>AM19</f>
        <v>0</v>
      </c>
      <c r="AN158" s="157">
        <f>AN19</f>
        <v>0</v>
      </c>
      <c r="AO158" s="157">
        <f t="shared" si="61"/>
        <v>0</v>
      </c>
      <c r="AP158" s="158"/>
      <c r="AQ158" s="157">
        <f>AQ19</f>
        <v>0</v>
      </c>
      <c r="AR158" s="157">
        <f>AR19</f>
        <v>0</v>
      </c>
      <c r="AS158" s="157">
        <f t="shared" si="62"/>
        <v>0</v>
      </c>
      <c r="AT158" s="158"/>
      <c r="AU158" s="157">
        <f>AU19</f>
        <v>0</v>
      </c>
      <c r="AV158" s="157">
        <f>AV19</f>
        <v>0</v>
      </c>
      <c r="AW158" s="157">
        <f t="shared" si="63"/>
        <v>0</v>
      </c>
      <c r="AX158" s="158"/>
      <c r="AY158" s="157">
        <f>AY19</f>
        <v>0</v>
      </c>
      <c r="AZ158" s="157">
        <f>AZ19</f>
        <v>0</v>
      </c>
      <c r="BA158" s="157">
        <f t="shared" si="64"/>
        <v>0</v>
      </c>
      <c r="BB158" s="158"/>
      <c r="BC158" s="157">
        <f>BC19</f>
        <v>0</v>
      </c>
      <c r="BD158" s="157">
        <f>BD19</f>
        <v>0</v>
      </c>
      <c r="BE158" s="157">
        <f t="shared" si="65"/>
        <v>0</v>
      </c>
      <c r="BF158" s="158"/>
      <c r="BG158" s="157">
        <f>BG19</f>
        <v>0</v>
      </c>
      <c r="BH158" s="157">
        <f>BH19</f>
        <v>0</v>
      </c>
      <c r="BI158" s="157">
        <f t="shared" si="66"/>
        <v>0</v>
      </c>
      <c r="BJ158" s="158"/>
      <c r="BK158" s="162"/>
    </row>
    <row r="159" spans="1:63" ht="12.75" hidden="1" customHeight="1" x14ac:dyDescent="0.2">
      <c r="D159" s="3" t="s">
        <v>151</v>
      </c>
      <c r="F159" s="155"/>
      <c r="G159" s="23"/>
      <c r="H159" s="23">
        <f>H71-H61</f>
        <v>-474.62399999999997</v>
      </c>
      <c r="I159" s="155">
        <f t="shared" si="54"/>
        <v>-474.62399999999997</v>
      </c>
      <c r="J159" s="155"/>
      <c r="K159" s="158"/>
      <c r="M159" s="5">
        <f>M71-M61</f>
        <v>-514</v>
      </c>
      <c r="N159" s="157">
        <f t="shared" si="55"/>
        <v>-514</v>
      </c>
      <c r="O159" s="157"/>
      <c r="P159" s="158"/>
      <c r="R159" s="5">
        <f>R71-R61</f>
        <v>-582.29999999999995</v>
      </c>
      <c r="S159" s="157">
        <f t="shared" si="56"/>
        <v>-582.29999999999995</v>
      </c>
      <c r="T159" s="155"/>
      <c r="U159" s="23"/>
      <c r="V159" s="23">
        <f>V71-V61</f>
        <v>-720.755</v>
      </c>
      <c r="W159" s="155">
        <f t="shared" si="57"/>
        <v>-720.755</v>
      </c>
      <c r="X159" s="155"/>
      <c r="Y159" s="158"/>
      <c r="AA159" s="5">
        <f>AA71-AA61</f>
        <v>0</v>
      </c>
      <c r="AB159" s="157">
        <f t="shared" si="58"/>
        <v>0</v>
      </c>
      <c r="AC159" s="157"/>
      <c r="AD159" s="158"/>
      <c r="AE159" s="5">
        <f>AE71-AE61</f>
        <v>142.56200000000001</v>
      </c>
      <c r="AF159" s="5">
        <f>AF71-AF61</f>
        <v>-720.755</v>
      </c>
      <c r="AG159" s="157">
        <f t="shared" si="59"/>
        <v>-578.19299999999998</v>
      </c>
      <c r="AH159" s="158"/>
      <c r="AI159" s="5">
        <f>AI71-AI61</f>
        <v>266.68900000000002</v>
      </c>
      <c r="AJ159" s="5">
        <f>AJ71-AJ61</f>
        <v>-2455.1260000000002</v>
      </c>
      <c r="AK159" s="157">
        <f t="shared" si="60"/>
        <v>-2188.4370000000004</v>
      </c>
      <c r="AM159" s="5">
        <f>AM71-AM61</f>
        <v>0</v>
      </c>
      <c r="AN159" s="5">
        <f>AN71-AN61</f>
        <v>-2650.5369999999998</v>
      </c>
      <c r="AO159" s="157">
        <f t="shared" si="61"/>
        <v>-2650.5369999999998</v>
      </c>
      <c r="AP159" s="158"/>
      <c r="AQ159" s="5">
        <f>AQ71-AQ61</f>
        <v>0</v>
      </c>
      <c r="AR159" s="5">
        <f>AR71-AR61</f>
        <v>-787.58399999999995</v>
      </c>
      <c r="AS159" s="157">
        <f t="shared" si="62"/>
        <v>-787.58399999999995</v>
      </c>
      <c r="AT159" s="158"/>
      <c r="AU159" s="5">
        <f>AU71-AU61</f>
        <v>0</v>
      </c>
      <c r="AV159" s="5">
        <f>AV71-AV61</f>
        <v>-60.021000000000001</v>
      </c>
      <c r="AW159" s="157">
        <f t="shared" si="63"/>
        <v>-60.021000000000001</v>
      </c>
      <c r="AX159" s="158"/>
      <c r="AY159" s="5">
        <f>AY71-AY61</f>
        <v>0</v>
      </c>
      <c r="AZ159" s="5">
        <f>AZ71-AZ61</f>
        <v>-60.021000000000001</v>
      </c>
      <c r="BA159" s="157">
        <f t="shared" si="64"/>
        <v>-60.021000000000001</v>
      </c>
      <c r="BB159" s="158"/>
      <c r="BC159" s="5">
        <f>BC71-BC61</f>
        <v>0</v>
      </c>
      <c r="BD159" s="5">
        <f>BD71-BD61</f>
        <v>-60.021000000000001</v>
      </c>
      <c r="BE159" s="157">
        <f t="shared" si="65"/>
        <v>-60.021000000000001</v>
      </c>
      <c r="BF159" s="158"/>
      <c r="BG159" s="5">
        <f>BG71-BG61</f>
        <v>0</v>
      </c>
      <c r="BH159" s="5">
        <f>BH71-BH61</f>
        <v>-60.021000000000001</v>
      </c>
      <c r="BI159" s="157">
        <f t="shared" si="66"/>
        <v>-60.021000000000001</v>
      </c>
      <c r="BJ159" s="158"/>
      <c r="BK159" s="171"/>
    </row>
    <row r="160" spans="1:63" ht="12.75" hidden="1" customHeight="1" x14ac:dyDescent="0.2">
      <c r="D160" s="3" t="s">
        <v>152</v>
      </c>
      <c r="F160" s="155"/>
      <c r="G160" s="23">
        <f>G94+G43+G53</f>
        <v>5287.5400000000009</v>
      </c>
      <c r="H160" s="23">
        <f>H94+H61</f>
        <v>-518.77499999999998</v>
      </c>
      <c r="I160" s="155">
        <f t="shared" si="54"/>
        <v>4768.7650000000012</v>
      </c>
      <c r="J160" s="155"/>
      <c r="K160" s="158"/>
      <c r="L160" s="5">
        <f>L94+L43+L53</f>
        <v>27.524999999999999</v>
      </c>
      <c r="M160" s="5">
        <f>M94+M61</f>
        <v>-870.07500000000005</v>
      </c>
      <c r="N160" s="157">
        <f t="shared" si="55"/>
        <v>-842.55000000000007</v>
      </c>
      <c r="O160" s="157"/>
      <c r="P160" s="158"/>
      <c r="Q160" s="5">
        <f>Q94+Q43+Q53</f>
        <v>1027.5250000000001</v>
      </c>
      <c r="R160" s="5">
        <f>R94</f>
        <v>-686.77499999999998</v>
      </c>
      <c r="S160" s="157">
        <f t="shared" si="56"/>
        <v>340.75000000000011</v>
      </c>
      <c r="T160" s="155"/>
      <c r="U160" s="23">
        <f>U94+U43+U53</f>
        <v>3143.2469999999998</v>
      </c>
      <c r="V160" s="23">
        <f>V94+V61</f>
        <v>-8739.8679999999986</v>
      </c>
      <c r="W160" s="155">
        <f t="shared" si="57"/>
        <v>-5596.6209999999992</v>
      </c>
      <c r="X160" s="155"/>
      <c r="Y160" s="158"/>
      <c r="Z160" s="5">
        <f>Z94+Z43+Z53</f>
        <v>0</v>
      </c>
      <c r="AA160" s="5">
        <f>AA94+AA61</f>
        <v>-1232.453</v>
      </c>
      <c r="AB160" s="157">
        <f t="shared" si="58"/>
        <v>-1232.453</v>
      </c>
      <c r="AC160" s="157"/>
      <c r="AD160" s="158"/>
      <c r="AE160" s="5">
        <f>AE94+AE103+AE43</f>
        <v>3447.0069999999996</v>
      </c>
      <c r="AF160" s="5">
        <f>AF94+AF103</f>
        <v>-9198.8499999999985</v>
      </c>
      <c r="AG160" s="157">
        <f t="shared" si="59"/>
        <v>-5751.8429999999989</v>
      </c>
      <c r="AH160" s="158"/>
      <c r="AI160" s="5">
        <f>AI94+AI103+AI43</f>
        <v>1080.7760000000001</v>
      </c>
      <c r="AJ160" s="5">
        <f>AJ94+AJ103</f>
        <v>-428.96199999999999</v>
      </c>
      <c r="AK160" s="157">
        <f t="shared" si="60"/>
        <v>651.81400000000008</v>
      </c>
      <c r="AM160" s="5">
        <f>AM94+AM103+AM43</f>
        <v>55.186000000000071</v>
      </c>
      <c r="AN160" s="5">
        <f>AN94+AN103</f>
        <v>-571.37099999999998</v>
      </c>
      <c r="AO160" s="157">
        <f t="shared" si="61"/>
        <v>-516.18499999999995</v>
      </c>
      <c r="AP160" s="158"/>
      <c r="AQ160" s="5">
        <f>AQ94+AQ103+AQ43</f>
        <v>0</v>
      </c>
      <c r="AR160" s="5">
        <f>AR94+AR103</f>
        <v>-500</v>
      </c>
      <c r="AS160" s="157">
        <f t="shared" si="62"/>
        <v>-500</v>
      </c>
      <c r="AT160" s="158"/>
      <c r="AU160" s="5">
        <f>AU94+AU103+AU43</f>
        <v>0</v>
      </c>
      <c r="AV160" s="5">
        <f>AV94+AV103</f>
        <v>0</v>
      </c>
      <c r="AW160" s="157">
        <f t="shared" si="63"/>
        <v>0</v>
      </c>
      <c r="AX160" s="158"/>
      <c r="AY160" s="5">
        <f>AY94+AY103+AY43</f>
        <v>0</v>
      </c>
      <c r="AZ160" s="5">
        <f>AZ94+AZ103</f>
        <v>0</v>
      </c>
      <c r="BA160" s="157">
        <f t="shared" si="64"/>
        <v>0</v>
      </c>
      <c r="BB160" s="158"/>
      <c r="BC160" s="5">
        <f>BC94+BC103+BC43</f>
        <v>1378.4069999999999</v>
      </c>
      <c r="BD160" s="5">
        <f>BD94+BD103</f>
        <v>0</v>
      </c>
      <c r="BE160" s="157">
        <f t="shared" si="65"/>
        <v>1378.4069999999999</v>
      </c>
      <c r="BF160" s="158"/>
      <c r="BG160" s="5">
        <f>BG94+BG103+BG43</f>
        <v>0</v>
      </c>
      <c r="BH160" s="5">
        <f>BH94+BH103</f>
        <v>0</v>
      </c>
      <c r="BI160" s="157">
        <f t="shared" si="66"/>
        <v>0</v>
      </c>
      <c r="BJ160" s="158"/>
      <c r="BK160" s="171"/>
    </row>
    <row r="161" spans="1:63" ht="12.75" hidden="1" customHeight="1" x14ac:dyDescent="0.2">
      <c r="D161" s="3" t="s">
        <v>153</v>
      </c>
      <c r="F161" s="155"/>
      <c r="G161" s="23">
        <f>G49</f>
        <v>0</v>
      </c>
      <c r="H161" s="23"/>
      <c r="I161" s="155">
        <f t="shared" si="54"/>
        <v>0</v>
      </c>
      <c r="J161" s="155"/>
      <c r="K161" s="158"/>
      <c r="L161" s="5">
        <f>L49</f>
        <v>0</v>
      </c>
      <c r="N161" s="157">
        <f t="shared" si="55"/>
        <v>0</v>
      </c>
      <c r="O161" s="157"/>
      <c r="P161" s="158"/>
      <c r="Q161" s="5">
        <f>Q49</f>
        <v>0</v>
      </c>
      <c r="S161" s="157">
        <f t="shared" si="56"/>
        <v>0</v>
      </c>
      <c r="T161" s="155"/>
      <c r="U161" s="23">
        <f>U49</f>
        <v>0</v>
      </c>
      <c r="V161" s="23"/>
      <c r="W161" s="155">
        <f t="shared" si="57"/>
        <v>0</v>
      </c>
      <c r="X161" s="155"/>
      <c r="Y161" s="158"/>
      <c r="Z161" s="5">
        <f>Z49</f>
        <v>0</v>
      </c>
      <c r="AB161" s="157">
        <f t="shared" si="58"/>
        <v>0</v>
      </c>
      <c r="AC161" s="157"/>
      <c r="AD161" s="158"/>
      <c r="AE161" s="5">
        <f>AE49</f>
        <v>0</v>
      </c>
      <c r="AG161" s="157">
        <f t="shared" si="59"/>
        <v>0</v>
      </c>
      <c r="AH161" s="158"/>
      <c r="AI161" s="5">
        <f>AI49</f>
        <v>0</v>
      </c>
      <c r="AK161" s="157">
        <f t="shared" si="60"/>
        <v>0</v>
      </c>
      <c r="AM161" s="5">
        <f>AM49</f>
        <v>0</v>
      </c>
      <c r="AO161" s="157">
        <f t="shared" si="61"/>
        <v>0</v>
      </c>
      <c r="AP161" s="158"/>
      <c r="AQ161" s="5">
        <f>AQ49</f>
        <v>0</v>
      </c>
      <c r="AS161" s="157">
        <f t="shared" si="62"/>
        <v>0</v>
      </c>
      <c r="AT161" s="158"/>
      <c r="AU161" s="5">
        <f>AU49</f>
        <v>0</v>
      </c>
      <c r="AW161" s="157">
        <f t="shared" si="63"/>
        <v>0</v>
      </c>
      <c r="AX161" s="158"/>
      <c r="AY161" s="5">
        <f>AY49</f>
        <v>0</v>
      </c>
      <c r="BA161" s="157">
        <f t="shared" si="64"/>
        <v>0</v>
      </c>
      <c r="BB161" s="158"/>
      <c r="BC161" s="5">
        <f>BC49</f>
        <v>0</v>
      </c>
      <c r="BE161" s="157">
        <f t="shared" si="65"/>
        <v>0</v>
      </c>
      <c r="BF161" s="158"/>
      <c r="BG161" s="5">
        <f>BG49</f>
        <v>0</v>
      </c>
      <c r="BI161" s="157">
        <f t="shared" si="66"/>
        <v>0</v>
      </c>
      <c r="BJ161" s="158"/>
      <c r="BK161" s="171"/>
    </row>
    <row r="162" spans="1:63" ht="12.75" hidden="1" customHeight="1" x14ac:dyDescent="0.2">
      <c r="D162" s="3" t="s">
        <v>154</v>
      </c>
      <c r="F162" s="155"/>
      <c r="G162" s="23">
        <f>G13</f>
        <v>0</v>
      </c>
      <c r="H162" s="23"/>
      <c r="I162" s="155">
        <f t="shared" si="54"/>
        <v>0</v>
      </c>
      <c r="J162" s="155"/>
      <c r="K162" s="158"/>
      <c r="L162" s="5">
        <f>L13</f>
        <v>0</v>
      </c>
      <c r="N162" s="157">
        <f t="shared" si="55"/>
        <v>0</v>
      </c>
      <c r="O162" s="157"/>
      <c r="P162" s="158"/>
      <c r="Q162" s="5">
        <f>Q13</f>
        <v>0</v>
      </c>
      <c r="S162" s="157">
        <f t="shared" si="56"/>
        <v>0</v>
      </c>
      <c r="T162" s="155"/>
      <c r="U162" s="23">
        <f>U13</f>
        <v>0</v>
      </c>
      <c r="V162" s="23"/>
      <c r="W162" s="155">
        <f t="shared" si="57"/>
        <v>0</v>
      </c>
      <c r="X162" s="155"/>
      <c r="Y162" s="158"/>
      <c r="Z162" s="5">
        <f>Z13</f>
        <v>0</v>
      </c>
      <c r="AB162" s="157">
        <f t="shared" si="58"/>
        <v>0</v>
      </c>
      <c r="AC162" s="157"/>
      <c r="AD162" s="158"/>
      <c r="AE162" s="5">
        <f>AE13</f>
        <v>0</v>
      </c>
      <c r="AG162" s="157">
        <f t="shared" si="59"/>
        <v>0</v>
      </c>
      <c r="AH162" s="158"/>
      <c r="AI162" s="5">
        <f>AI13</f>
        <v>0</v>
      </c>
      <c r="AK162" s="157">
        <f t="shared" si="60"/>
        <v>0</v>
      </c>
      <c r="AM162" s="5">
        <f>AM13</f>
        <v>0</v>
      </c>
      <c r="AO162" s="157">
        <f t="shared" si="61"/>
        <v>0</v>
      </c>
      <c r="AP162" s="158"/>
      <c r="AQ162" s="5">
        <f>AQ13</f>
        <v>0</v>
      </c>
      <c r="AS162" s="157">
        <f t="shared" si="62"/>
        <v>0</v>
      </c>
      <c r="AT162" s="158"/>
      <c r="AU162" s="5">
        <f>AU13</f>
        <v>0</v>
      </c>
      <c r="AW162" s="157">
        <f t="shared" si="63"/>
        <v>0</v>
      </c>
      <c r="AX162" s="158"/>
      <c r="AY162" s="5">
        <f>AY13</f>
        <v>0</v>
      </c>
      <c r="BA162" s="157">
        <f t="shared" si="64"/>
        <v>0</v>
      </c>
      <c r="BB162" s="158"/>
      <c r="BC162" s="5">
        <f>BC13</f>
        <v>0</v>
      </c>
      <c r="BE162" s="157">
        <f t="shared" si="65"/>
        <v>0</v>
      </c>
      <c r="BF162" s="158"/>
      <c r="BG162" s="5">
        <f>BG13</f>
        <v>0</v>
      </c>
      <c r="BI162" s="157">
        <f t="shared" si="66"/>
        <v>0</v>
      </c>
      <c r="BJ162" s="158"/>
      <c r="BK162" s="171"/>
    </row>
    <row r="163" spans="1:63" ht="12.75" hidden="1" customHeight="1" x14ac:dyDescent="0.2">
      <c r="D163" s="3" t="s">
        <v>146</v>
      </c>
      <c r="F163" s="155"/>
      <c r="G163" s="23">
        <f>G11</f>
        <v>204.114</v>
      </c>
      <c r="H163" s="23"/>
      <c r="I163" s="155">
        <f t="shared" si="54"/>
        <v>204.114</v>
      </c>
      <c r="J163" s="155"/>
      <c r="K163" s="158"/>
      <c r="L163" s="5">
        <f>L11</f>
        <v>204.1</v>
      </c>
      <c r="N163" s="157">
        <f t="shared" si="55"/>
        <v>204.1</v>
      </c>
      <c r="O163" s="157"/>
      <c r="P163" s="158"/>
      <c r="Q163" s="5">
        <f>Q11</f>
        <v>204.1</v>
      </c>
      <c r="S163" s="157">
        <f t="shared" si="56"/>
        <v>204.1</v>
      </c>
      <c r="T163" s="155"/>
      <c r="U163" s="23">
        <f>U11</f>
        <v>0</v>
      </c>
      <c r="V163" s="23"/>
      <c r="W163" s="155">
        <f t="shared" si="57"/>
        <v>0</v>
      </c>
      <c r="X163" s="155"/>
      <c r="Y163" s="158"/>
      <c r="Z163" s="5">
        <f>Z11</f>
        <v>0</v>
      </c>
      <c r="AB163" s="157">
        <f t="shared" si="58"/>
        <v>0</v>
      </c>
      <c r="AC163" s="157"/>
      <c r="AD163" s="158"/>
      <c r="AE163" s="5">
        <f>AE11</f>
        <v>0</v>
      </c>
      <c r="AG163" s="157">
        <f t="shared" si="59"/>
        <v>0</v>
      </c>
      <c r="AH163" s="158"/>
      <c r="AI163" s="5">
        <f>AI11</f>
        <v>0</v>
      </c>
      <c r="AJ163" s="5">
        <f>AJ11</f>
        <v>0</v>
      </c>
      <c r="AK163" s="157">
        <f t="shared" si="60"/>
        <v>0</v>
      </c>
      <c r="AM163" s="5">
        <f>AM11</f>
        <v>0</v>
      </c>
      <c r="AN163" s="5">
        <f>AN11</f>
        <v>2.2051804826617172E-14</v>
      </c>
      <c r="AO163" s="157">
        <f t="shared" si="61"/>
        <v>2.2051804826617172E-14</v>
      </c>
      <c r="AP163" s="158"/>
      <c r="AQ163" s="5">
        <f>AQ11</f>
        <v>0</v>
      </c>
      <c r="AR163" s="5">
        <f>AR11</f>
        <v>-664.03200000000004</v>
      </c>
      <c r="AS163" s="157">
        <f t="shared" si="62"/>
        <v>-664.03200000000004</v>
      </c>
      <c r="AT163" s="158"/>
      <c r="AU163" s="5">
        <f>AU11</f>
        <v>0</v>
      </c>
      <c r="AV163" s="5">
        <f>AV11</f>
        <v>-545.71299999999997</v>
      </c>
      <c r="AW163" s="157">
        <f t="shared" si="63"/>
        <v>-545.71299999999997</v>
      </c>
      <c r="AX163" s="158"/>
      <c r="AY163" s="5">
        <f>AY11</f>
        <v>0</v>
      </c>
      <c r="AZ163" s="5">
        <f>AZ11</f>
        <v>-368.20700000000005</v>
      </c>
      <c r="BA163" s="157">
        <f t="shared" si="64"/>
        <v>-368.20700000000005</v>
      </c>
      <c r="BB163" s="158"/>
      <c r="BC163" s="5">
        <f>BC11</f>
        <v>0</v>
      </c>
      <c r="BD163" s="5">
        <f>BD11</f>
        <v>0</v>
      </c>
      <c r="BE163" s="157">
        <f t="shared" si="65"/>
        <v>0</v>
      </c>
      <c r="BF163" s="158"/>
      <c r="BG163" s="5">
        <f>BG11</f>
        <v>0</v>
      </c>
      <c r="BH163" s="5">
        <f>BH11</f>
        <v>0</v>
      </c>
      <c r="BI163" s="157">
        <f t="shared" si="66"/>
        <v>0</v>
      </c>
      <c r="BJ163" s="158"/>
      <c r="BK163" s="171"/>
    </row>
    <row r="164" spans="1:63" ht="12.75" hidden="1" customHeight="1" thickBot="1" x14ac:dyDescent="0.25">
      <c r="F164" s="155"/>
      <c r="G164" s="23"/>
      <c r="H164" s="23"/>
      <c r="I164" s="23"/>
      <c r="J164" s="155"/>
      <c r="K164" s="158"/>
      <c r="P164" s="158"/>
      <c r="T164" s="155"/>
      <c r="U164" s="23"/>
      <c r="V164" s="23"/>
      <c r="W164" s="23"/>
      <c r="X164" s="155"/>
      <c r="Y164" s="158"/>
      <c r="AD164" s="158"/>
      <c r="AH164" s="158"/>
      <c r="AP164" s="158"/>
      <c r="AT164" s="158"/>
      <c r="AX164" s="158"/>
      <c r="BB164" s="158"/>
      <c r="BF164" s="158"/>
      <c r="BJ164" s="158"/>
      <c r="BK164" s="171"/>
    </row>
    <row r="165" spans="1:63" s="166" customFormat="1" ht="18.75" hidden="1" customHeight="1" thickBot="1" x14ac:dyDescent="0.3">
      <c r="A165" s="163"/>
      <c r="B165" s="164"/>
      <c r="C165" s="163"/>
      <c r="D165" s="160"/>
      <c r="E165" s="160"/>
      <c r="F165" s="42">
        <v>0</v>
      </c>
      <c r="G165" s="42" t="e">
        <f>SUM(G157:G164)</f>
        <v>#REF!</v>
      </c>
      <c r="H165" s="42">
        <f>SUM(H157:H164)</f>
        <v>-1026.3109999999999</v>
      </c>
      <c r="I165" s="42" t="e">
        <f>SUM(I157:I164)</f>
        <v>#REF!</v>
      </c>
      <c r="J165" s="42">
        <f>SUM(J154:J164)</f>
        <v>0</v>
      </c>
      <c r="K165" s="44">
        <v>0</v>
      </c>
      <c r="L165" s="45" t="e">
        <f>SUM(L157:L164)</f>
        <v>#REF!</v>
      </c>
      <c r="M165" s="45">
        <f>SUM(M157:M164)</f>
        <v>-1384.075</v>
      </c>
      <c r="N165" s="45" t="e">
        <f>SUM(N157:N164)</f>
        <v>#REF!</v>
      </c>
      <c r="O165" s="45"/>
      <c r="P165" s="44">
        <f>SUM(P154:P164)</f>
        <v>0</v>
      </c>
      <c r="Q165" s="45" t="e">
        <f>SUM(Q157:Q164)</f>
        <v>#REF!</v>
      </c>
      <c r="R165" s="45">
        <f>SUM(R157:R164)</f>
        <v>-1269.0749999999998</v>
      </c>
      <c r="S165" s="45" t="e">
        <f>SUM(S157:S164)</f>
        <v>#REF!</v>
      </c>
      <c r="T165" s="42">
        <v>0</v>
      </c>
      <c r="U165" s="42" t="e">
        <f>SUM(U157:U164)</f>
        <v>#REF!</v>
      </c>
      <c r="V165" s="42">
        <f>SUM(V157:V164)</f>
        <v>-10160.828999999998</v>
      </c>
      <c r="W165" s="42" t="e">
        <f>SUM(W157:W164)</f>
        <v>#REF!</v>
      </c>
      <c r="X165" s="42">
        <f>SUM(X154:X164)</f>
        <v>0</v>
      </c>
      <c r="Y165" s="44">
        <v>0</v>
      </c>
      <c r="Z165" s="45" t="e">
        <f>SUM(Z157:Z164)</f>
        <v>#REF!</v>
      </c>
      <c r="AA165" s="45">
        <f>SUM(AA157:AA164)</f>
        <v>-1232.453</v>
      </c>
      <c r="AB165" s="45" t="e">
        <f>SUM(AB157:AB164)</f>
        <v>#REF!</v>
      </c>
      <c r="AC165" s="45"/>
      <c r="AD165" s="44">
        <f>SUM(AD154:AD164)</f>
        <v>0</v>
      </c>
      <c r="AE165" s="45" t="e">
        <f>SUM(AE157:AE164)</f>
        <v>#REF!</v>
      </c>
      <c r="AF165" s="45">
        <f>SUM(AF157:AF164)</f>
        <v>-10619.810999999998</v>
      </c>
      <c r="AG165" s="45" t="e">
        <f>SUM(AG157:AG164)</f>
        <v>#REF!</v>
      </c>
      <c r="AH165" s="44">
        <f>SUM(AH154:AH164)</f>
        <v>0</v>
      </c>
      <c r="AI165" s="45">
        <f>SUM(AI157:AI164)</f>
        <v>3327.8890000000001</v>
      </c>
      <c r="AJ165" s="45">
        <f>SUM(AJ157:AJ164)</f>
        <v>-2884.0880000000002</v>
      </c>
      <c r="AK165" s="45">
        <f>SUM(AK157:AK164)</f>
        <v>443.8009999999997</v>
      </c>
      <c r="AL165" s="143"/>
      <c r="AM165" s="45">
        <f>SUM(AM157:AM164)</f>
        <v>3504.442</v>
      </c>
      <c r="AN165" s="45">
        <f>SUM(AN157:AN164)</f>
        <v>-3221.9079999999999</v>
      </c>
      <c r="AO165" s="45">
        <f>SUM(AO157:AO164)</f>
        <v>282.53400000000011</v>
      </c>
      <c r="AP165" s="44">
        <f>SUM(AP154:AP164)</f>
        <v>0</v>
      </c>
      <c r="AQ165" s="45">
        <f>SUM(AQ157:AQ164)</f>
        <v>3697.3930000000009</v>
      </c>
      <c r="AR165" s="45">
        <f>SUM(AR157:AR164)</f>
        <v>-1951.616</v>
      </c>
      <c r="AS165" s="45">
        <f>SUM(AS157:AS164)</f>
        <v>1745.777000000001</v>
      </c>
      <c r="AT165" s="44">
        <f>SUM(AT154:AT164)</f>
        <v>0</v>
      </c>
      <c r="AU165" s="45">
        <f>SUM(AU157:AU164)</f>
        <v>3644.7659999999996</v>
      </c>
      <c r="AV165" s="45">
        <f>SUM(AV157:AV164)</f>
        <v>-605.73399999999992</v>
      </c>
      <c r="AW165" s="45">
        <f>SUM(AW157:AW164)</f>
        <v>3039.0319999999992</v>
      </c>
      <c r="AX165" s="44">
        <f>SUM(AX154:AX164)</f>
        <v>0</v>
      </c>
      <c r="AY165" s="45">
        <f>SUM(AY157:AY164)</f>
        <v>3513.0400000000004</v>
      </c>
      <c r="AZ165" s="45">
        <f>SUM(AZ157:AZ164)</f>
        <v>-428.22800000000007</v>
      </c>
      <c r="BA165" s="45">
        <f>SUM(BA157:BA164)</f>
        <v>3084.8120000000004</v>
      </c>
      <c r="BB165" s="44">
        <f>SUM(BB154:BB164)</f>
        <v>0</v>
      </c>
      <c r="BC165" s="45">
        <f>SUM(BC157:BC164)</f>
        <v>4891.4470000000001</v>
      </c>
      <c r="BD165" s="45">
        <f>SUM(BD157:BD164)</f>
        <v>-60.021000000000001</v>
      </c>
      <c r="BE165" s="45">
        <f>SUM(BE157:BE164)</f>
        <v>4831.4260000000004</v>
      </c>
      <c r="BF165" s="44">
        <f>SUM(BF154:BF164)</f>
        <v>0</v>
      </c>
      <c r="BG165" s="45">
        <f>SUM(BG157:BG164)</f>
        <v>3514.7</v>
      </c>
      <c r="BH165" s="45">
        <f>SUM(BH157:BH164)</f>
        <v>-60.021000000000001</v>
      </c>
      <c r="BI165" s="45">
        <f>SUM(BI157:BI164)</f>
        <v>3454.6789999999996</v>
      </c>
      <c r="BJ165" s="44">
        <f>SUM(BJ154:BJ164)</f>
        <v>0</v>
      </c>
      <c r="BK165" s="165"/>
    </row>
    <row r="166" spans="1:63" ht="12.75" hidden="1" customHeight="1" thickTop="1" x14ac:dyDescent="0.25">
      <c r="F166" s="172" t="s">
        <v>155</v>
      </c>
      <c r="G166" s="23"/>
      <c r="H166" s="23"/>
      <c r="I166" s="23"/>
      <c r="J166" s="141" t="s">
        <v>155</v>
      </c>
      <c r="K166" s="173" t="s">
        <v>155</v>
      </c>
      <c r="P166" s="143" t="s">
        <v>155</v>
      </c>
      <c r="T166" s="172" t="s">
        <v>155</v>
      </c>
      <c r="U166" s="23"/>
      <c r="V166" s="23"/>
      <c r="W166" s="23"/>
      <c r="X166" s="141" t="s">
        <v>155</v>
      </c>
      <c r="Y166" s="173" t="s">
        <v>155</v>
      </c>
      <c r="AD166" s="143" t="s">
        <v>155</v>
      </c>
      <c r="AH166" s="143" t="s">
        <v>155</v>
      </c>
      <c r="AK166" s="143" t="s">
        <v>156</v>
      </c>
      <c r="AO166" s="143" t="s">
        <v>156</v>
      </c>
      <c r="AS166" s="143" t="s">
        <v>156</v>
      </c>
      <c r="AW166" s="143" t="s">
        <v>156</v>
      </c>
      <c r="BA166" s="143" t="s">
        <v>156</v>
      </c>
      <c r="BE166" s="143" t="s">
        <v>156</v>
      </c>
      <c r="BI166" s="143" t="s">
        <v>156</v>
      </c>
      <c r="BK166" s="171"/>
    </row>
    <row r="167" spans="1:63" ht="12.75" hidden="1" customHeight="1" x14ac:dyDescent="0.2">
      <c r="D167" s="174" t="s">
        <v>157</v>
      </c>
      <c r="E167" s="174"/>
      <c r="F167" s="175">
        <v>3144.5659999999998</v>
      </c>
      <c r="G167" s="23">
        <v>3145.2910000000002</v>
      </c>
      <c r="H167" s="23"/>
      <c r="I167" s="23"/>
      <c r="J167" s="23">
        <f>SUM(G167:I167)</f>
        <v>3145.2910000000002</v>
      </c>
      <c r="K167" s="176">
        <v>3144.5659999999998</v>
      </c>
      <c r="L167" s="177">
        <v>3145.2910000000002</v>
      </c>
      <c r="P167" s="5">
        <f>SUM(L167:N167)</f>
        <v>3145.2910000000002</v>
      </c>
      <c r="Q167" s="177">
        <v>3207</v>
      </c>
      <c r="T167" s="175">
        <v>3144.5659999999998</v>
      </c>
      <c r="U167" s="23">
        <v>3145.2910000000002</v>
      </c>
      <c r="V167" s="23"/>
      <c r="W167" s="23"/>
      <c r="X167" s="23">
        <f>SUM(U167:W167)</f>
        <v>3145.2910000000002</v>
      </c>
      <c r="Y167" s="176">
        <v>3144.5659999999998</v>
      </c>
      <c r="Z167" s="177">
        <v>3145.2910000000002</v>
      </c>
      <c r="AD167" s="5">
        <f>SUM(Q167:S167)</f>
        <v>3207</v>
      </c>
      <c r="AE167" s="5">
        <v>789.40499999999997</v>
      </c>
      <c r="AI167" s="5">
        <v>1980.424</v>
      </c>
      <c r="AK167" s="5">
        <f t="shared" ref="AK167:AK178" si="67">SUM(AI167:AJ167)</f>
        <v>1980.424</v>
      </c>
      <c r="AM167" s="5">
        <v>3449.3</v>
      </c>
      <c r="AO167" s="5">
        <f t="shared" ref="AO167:AO178" si="68">SUM(AM167:AN167)</f>
        <v>3449.3</v>
      </c>
      <c r="AQ167" s="5">
        <v>3697.4</v>
      </c>
      <c r="AS167" s="5">
        <f t="shared" ref="AS167:AS178" si="69">SUM(AQ167:AR167)</f>
        <v>3697.4</v>
      </c>
      <c r="AU167" s="5">
        <v>3644.8</v>
      </c>
      <c r="AW167" s="5">
        <f t="shared" ref="AW167:AW178" si="70">SUM(AU167:AV167)</f>
        <v>3644.8</v>
      </c>
      <c r="AY167" s="5">
        <v>3513</v>
      </c>
      <c r="BA167" s="5">
        <f t="shared" ref="BA167:BA178" si="71">SUM(AY167:AZ167)</f>
        <v>3513</v>
      </c>
      <c r="BC167" s="5">
        <v>3513</v>
      </c>
      <c r="BE167" s="5">
        <f t="shared" ref="BE167:BE178" si="72">SUM(BC167:BD167)</f>
        <v>3513</v>
      </c>
      <c r="BG167" s="5">
        <f>4014.7-500</f>
        <v>3514.7</v>
      </c>
      <c r="BI167" s="5">
        <f t="shared" ref="BI167:BI178" si="73">SUM(BG167:BH167)</f>
        <v>3514.7</v>
      </c>
      <c r="BK167" s="171"/>
    </row>
    <row r="168" spans="1:63" ht="12.75" hidden="1" customHeight="1" x14ac:dyDescent="0.2">
      <c r="D168" s="174" t="s">
        <v>158</v>
      </c>
      <c r="E168" s="174"/>
      <c r="F168" s="175"/>
      <c r="G168" s="23"/>
      <c r="H168" s="23">
        <f>-32.891-0.9</f>
        <v>-33.790999999999997</v>
      </c>
      <c r="I168" s="23"/>
      <c r="J168" s="23"/>
      <c r="K168" s="178"/>
      <c r="M168" s="177">
        <f>-32.891-0.9</f>
        <v>-33.790999999999997</v>
      </c>
      <c r="P168" s="24"/>
      <c r="R168" s="177">
        <f>-1303-367.9-R169-R170</f>
        <v>-686.8000000000003</v>
      </c>
      <c r="T168" s="175"/>
      <c r="U168" s="23"/>
      <c r="V168" s="23">
        <f>-32.891-0.9</f>
        <v>-33.790999999999997</v>
      </c>
      <c r="W168" s="23"/>
      <c r="X168" s="23"/>
      <c r="Y168" s="178"/>
      <c r="AA168" s="177">
        <f>-32.891-0.9</f>
        <v>-33.790999999999997</v>
      </c>
      <c r="AF168" s="177">
        <v>-2407.23</v>
      </c>
      <c r="AJ168" s="5">
        <f>-178.962-250</f>
        <v>-428.96199999999999</v>
      </c>
      <c r="AK168" s="5">
        <f t="shared" si="67"/>
        <v>-428.96199999999999</v>
      </c>
      <c r="AN168" s="177">
        <f>-71.371-250-250</f>
        <v>-571.37099999999998</v>
      </c>
      <c r="AO168" s="5">
        <f t="shared" si="68"/>
        <v>-571.37099999999998</v>
      </c>
      <c r="AR168" s="177">
        <f>-250-250</f>
        <v>-500</v>
      </c>
      <c r="AS168" s="5">
        <f t="shared" si="69"/>
        <v>-500</v>
      </c>
      <c r="AV168" s="177"/>
      <c r="AW168" s="5">
        <f t="shared" si="70"/>
        <v>0</v>
      </c>
      <c r="AZ168" s="177"/>
      <c r="BA168" s="5">
        <f t="shared" si="71"/>
        <v>0</v>
      </c>
      <c r="BD168" s="177"/>
      <c r="BE168" s="5">
        <f t="shared" si="72"/>
        <v>0</v>
      </c>
      <c r="BH168" s="177"/>
      <c r="BI168" s="5">
        <f t="shared" si="73"/>
        <v>0</v>
      </c>
      <c r="BK168" s="171"/>
    </row>
    <row r="169" spans="1:63" ht="12.75" hidden="1" customHeight="1" x14ac:dyDescent="0.2">
      <c r="D169" s="174" t="s">
        <v>159</v>
      </c>
      <c r="E169" s="174"/>
      <c r="F169" s="175">
        <v>-638.1</v>
      </c>
      <c r="G169" s="23"/>
      <c r="H169" s="23">
        <f>-682.2</f>
        <v>-682.2</v>
      </c>
      <c r="I169" s="23"/>
      <c r="J169" s="23">
        <f>SUM(G168:I169)</f>
        <v>-715.99099999999999</v>
      </c>
      <c r="K169" s="176">
        <v>-638.1</v>
      </c>
      <c r="M169" s="177">
        <f>-682.2</f>
        <v>-682.2</v>
      </c>
      <c r="P169" s="5">
        <f>SUM(L168:N169)</f>
        <v>-715.99099999999999</v>
      </c>
      <c r="R169" s="177">
        <f>-523.4-92.8</f>
        <v>-616.19999999999993</v>
      </c>
      <c r="T169" s="175">
        <v>-638.1</v>
      </c>
      <c r="U169" s="23"/>
      <c r="V169" s="23">
        <f>-682.2</f>
        <v>-682.2</v>
      </c>
      <c r="W169" s="23"/>
      <c r="X169" s="23">
        <f>SUM(U168:W169)</f>
        <v>-715.99099999999999</v>
      </c>
      <c r="Y169" s="176">
        <v>-638.1</v>
      </c>
      <c r="AA169" s="177">
        <f>-682.2</f>
        <v>-682.2</v>
      </c>
      <c r="AD169" s="5">
        <f>SUM(Q168:S169)</f>
        <v>-1303.0000000000002</v>
      </c>
      <c r="AF169" s="5">
        <v>-882.38599999999997</v>
      </c>
      <c r="AJ169" s="5">
        <v>-2455.1260000000002</v>
      </c>
      <c r="AK169" s="5">
        <f t="shared" si="67"/>
        <v>-2455.1260000000002</v>
      </c>
      <c r="AN169" s="5">
        <v>-2650.5369999999998</v>
      </c>
      <c r="AO169" s="5">
        <f t="shared" si="68"/>
        <v>-2650.5369999999998</v>
      </c>
      <c r="AR169" s="5">
        <v>-787.58399999999995</v>
      </c>
      <c r="AS169" s="5">
        <f t="shared" si="69"/>
        <v>-787.58399999999995</v>
      </c>
      <c r="AV169" s="5">
        <f>-60.021-AV168</f>
        <v>-60.021000000000001</v>
      </c>
      <c r="AW169" s="5">
        <f t="shared" si="70"/>
        <v>-60.021000000000001</v>
      </c>
      <c r="AZ169" s="5">
        <f>-60.021-AZ168</f>
        <v>-60.021000000000001</v>
      </c>
      <c r="BA169" s="5">
        <f t="shared" si="71"/>
        <v>-60.021000000000001</v>
      </c>
      <c r="BD169" s="5">
        <f>-60.021-BD168</f>
        <v>-60.021000000000001</v>
      </c>
      <c r="BE169" s="5">
        <f t="shared" si="72"/>
        <v>-60.021000000000001</v>
      </c>
      <c r="BH169" s="5">
        <f>-60.021-BH168</f>
        <v>-60.021000000000001</v>
      </c>
      <c r="BI169" s="5">
        <f t="shared" si="73"/>
        <v>-60.021000000000001</v>
      </c>
      <c r="BK169" s="171"/>
    </row>
    <row r="170" spans="1:63" ht="12.75" hidden="1" customHeight="1" x14ac:dyDescent="0.2">
      <c r="D170" s="174" t="s">
        <v>160</v>
      </c>
      <c r="E170" s="174"/>
      <c r="F170" s="175"/>
      <c r="G170" s="23"/>
      <c r="H170" s="23"/>
      <c r="I170" s="23"/>
      <c r="J170" s="23"/>
      <c r="K170" s="176"/>
      <c r="M170" s="177"/>
      <c r="R170" s="177">
        <f>-367.9</f>
        <v>-367.9</v>
      </c>
      <c r="T170" s="175"/>
      <c r="U170" s="23"/>
      <c r="V170" s="23"/>
      <c r="W170" s="23"/>
      <c r="X170" s="23"/>
      <c r="Y170" s="176"/>
      <c r="AA170" s="177"/>
      <c r="AE170" s="5">
        <f>142.562</f>
        <v>142.56200000000001</v>
      </c>
      <c r="AI170" s="5">
        <v>266.68900000000002</v>
      </c>
      <c r="AK170" s="5">
        <f t="shared" si="67"/>
        <v>266.68900000000002</v>
      </c>
      <c r="AM170" s="5">
        <v>0</v>
      </c>
      <c r="AO170" s="5">
        <f t="shared" si="68"/>
        <v>0</v>
      </c>
      <c r="AQ170" s="5">
        <v>0</v>
      </c>
      <c r="AS170" s="5">
        <f t="shared" si="69"/>
        <v>0</v>
      </c>
      <c r="AU170" s="5">
        <v>0</v>
      </c>
      <c r="AW170" s="5">
        <f t="shared" si="70"/>
        <v>0</v>
      </c>
      <c r="AY170" s="5">
        <v>0</v>
      </c>
      <c r="BA170" s="5">
        <f t="shared" si="71"/>
        <v>0</v>
      </c>
      <c r="BC170" s="5">
        <v>1378.4069999999999</v>
      </c>
      <c r="BE170" s="5">
        <f t="shared" si="72"/>
        <v>1378.4069999999999</v>
      </c>
      <c r="BG170" s="5">
        <v>0</v>
      </c>
      <c r="BI170" s="5">
        <f t="shared" si="73"/>
        <v>0</v>
      </c>
      <c r="BK170" s="171"/>
    </row>
    <row r="171" spans="1:63" ht="12.75" hidden="1" customHeight="1" x14ac:dyDescent="0.2">
      <c r="D171" s="174" t="s">
        <v>161</v>
      </c>
      <c r="E171" s="174"/>
      <c r="F171" s="179">
        <v>9043.9</v>
      </c>
      <c r="G171" s="180">
        <f>199.2+200+3170.956+5.82-0.02</f>
        <v>3575.9560000000001</v>
      </c>
      <c r="H171" s="23"/>
      <c r="I171" s="23"/>
      <c r="J171" s="181">
        <f>SUM(G171:I171)</f>
        <v>3575.9560000000001</v>
      </c>
      <c r="K171" s="182">
        <v>9043.9</v>
      </c>
      <c r="L171" s="183">
        <f>199.2+200+3170.956+5.82-0.02</f>
        <v>3575.9560000000001</v>
      </c>
      <c r="P171" s="184">
        <f>SUM(L171:N171)</f>
        <v>3575.9560000000001</v>
      </c>
      <c r="Q171" s="177">
        <v>1822.1</v>
      </c>
      <c r="T171" s="179">
        <v>9043.9</v>
      </c>
      <c r="U171" s="180">
        <f>199.2+200+3170.956+5.82-0.02</f>
        <v>3575.9560000000001</v>
      </c>
      <c r="V171" s="23"/>
      <c r="W171" s="23"/>
      <c r="X171" s="181">
        <f>SUM(U171:W171)</f>
        <v>3575.9560000000001</v>
      </c>
      <c r="Y171" s="182">
        <v>9043.9</v>
      </c>
      <c r="Z171" s="183">
        <f>199.2+200+3170.956+5.82-0.02</f>
        <v>3575.9560000000001</v>
      </c>
      <c r="AD171" s="184">
        <f>SUM(Q171:S171)</f>
        <v>1822.1</v>
      </c>
      <c r="AE171" s="177">
        <f>2986.088-AE170</f>
        <v>2843.5260000000003</v>
      </c>
      <c r="AH171" s="184"/>
      <c r="AI171" s="5">
        <v>1080.7760000000001</v>
      </c>
      <c r="AK171" s="5">
        <f t="shared" si="67"/>
        <v>1080.7760000000001</v>
      </c>
      <c r="AM171" s="177">
        <v>55.186</v>
      </c>
      <c r="AO171" s="5">
        <f t="shared" si="68"/>
        <v>55.186</v>
      </c>
      <c r="AQ171" s="177"/>
      <c r="AS171" s="5">
        <f t="shared" si="69"/>
        <v>0</v>
      </c>
      <c r="AU171" s="177"/>
      <c r="AW171" s="5">
        <f t="shared" si="70"/>
        <v>0</v>
      </c>
      <c r="AY171" s="177"/>
      <c r="BA171" s="5">
        <f t="shared" si="71"/>
        <v>0</v>
      </c>
      <c r="BC171" s="177"/>
      <c r="BE171" s="5">
        <f t="shared" si="72"/>
        <v>0</v>
      </c>
      <c r="BG171" s="177"/>
      <c r="BI171" s="5">
        <f t="shared" si="73"/>
        <v>0</v>
      </c>
      <c r="BK171" s="171"/>
    </row>
    <row r="172" spans="1:63" ht="12.75" hidden="1" customHeight="1" x14ac:dyDescent="0.2">
      <c r="D172" s="174" t="s">
        <v>162</v>
      </c>
      <c r="F172" s="175">
        <v>11550.366</v>
      </c>
      <c r="G172" s="23"/>
      <c r="H172" s="23"/>
      <c r="I172" s="23"/>
      <c r="J172" s="23">
        <f>SUM(J167:J171)</f>
        <v>6005.2560000000003</v>
      </c>
      <c r="K172" s="176">
        <v>11550.366</v>
      </c>
      <c r="L172" s="24"/>
      <c r="M172" s="24"/>
      <c r="N172" s="24"/>
      <c r="O172" s="24"/>
      <c r="P172" s="5">
        <f>SUM(P167:P171)</f>
        <v>6005.2560000000003</v>
      </c>
      <c r="Q172" s="24"/>
      <c r="R172" s="24"/>
      <c r="S172" s="24"/>
      <c r="T172" s="175">
        <v>11550.366</v>
      </c>
      <c r="U172" s="23"/>
      <c r="V172" s="23"/>
      <c r="W172" s="23"/>
      <c r="X172" s="23">
        <f>SUM(X167:X171)</f>
        <v>6005.2560000000003</v>
      </c>
      <c r="Y172" s="176">
        <v>11550.366</v>
      </c>
      <c r="Z172" s="24"/>
      <c r="AA172" s="24"/>
      <c r="AB172" s="24"/>
      <c r="AC172" s="24"/>
      <c r="AD172" s="5">
        <f>SUM(AD167:AD171)</f>
        <v>3726.0999999999995</v>
      </c>
      <c r="AE172" s="24"/>
      <c r="AF172" s="24"/>
      <c r="AG172" s="24"/>
      <c r="AI172" s="24">
        <v>0</v>
      </c>
      <c r="AJ172" s="24">
        <v>0</v>
      </c>
      <c r="AK172" s="5">
        <f t="shared" si="67"/>
        <v>0</v>
      </c>
      <c r="AM172" s="24">
        <v>0</v>
      </c>
      <c r="AN172" s="24">
        <v>0</v>
      </c>
      <c r="AO172" s="5">
        <f t="shared" si="68"/>
        <v>0</v>
      </c>
      <c r="AQ172" s="24">
        <v>0</v>
      </c>
      <c r="AR172" s="24">
        <v>-664.03200000000004</v>
      </c>
      <c r="AS172" s="5">
        <f t="shared" si="69"/>
        <v>-664.03200000000004</v>
      </c>
      <c r="AU172" s="24"/>
      <c r="AV172" s="24">
        <v>-545.71299999999997</v>
      </c>
      <c r="AW172" s="5">
        <f t="shared" si="70"/>
        <v>-545.71299999999997</v>
      </c>
      <c r="AY172" s="24"/>
      <c r="AZ172" s="24">
        <v>-368.20699999999999</v>
      </c>
      <c r="BA172" s="5">
        <f t="shared" si="71"/>
        <v>-368.20699999999999</v>
      </c>
      <c r="BC172" s="24"/>
      <c r="BD172" s="24"/>
      <c r="BE172" s="5">
        <f t="shared" si="72"/>
        <v>0</v>
      </c>
      <c r="BG172" s="24"/>
      <c r="BH172" s="24"/>
      <c r="BI172" s="5">
        <f t="shared" si="73"/>
        <v>0</v>
      </c>
      <c r="BK172" s="171"/>
    </row>
    <row r="173" spans="1:63" ht="12.75" hidden="1" customHeight="1" x14ac:dyDescent="0.2">
      <c r="D173" s="174" t="s">
        <v>163</v>
      </c>
      <c r="E173" s="174"/>
      <c r="F173" s="175">
        <v>0</v>
      </c>
      <c r="G173" s="23"/>
      <c r="H173" s="23"/>
      <c r="I173" s="23"/>
      <c r="J173" s="23">
        <f>SUM(G173:I173)</f>
        <v>0</v>
      </c>
      <c r="K173" s="176">
        <v>0</v>
      </c>
      <c r="P173" s="5">
        <f>SUM(L173:N173)</f>
        <v>0</v>
      </c>
      <c r="T173" s="175">
        <v>0</v>
      </c>
      <c r="U173" s="23"/>
      <c r="V173" s="23"/>
      <c r="W173" s="23"/>
      <c r="X173" s="23">
        <f>SUM(U173:W173)</f>
        <v>0</v>
      </c>
      <c r="Y173" s="176">
        <v>0</v>
      </c>
      <c r="AD173" s="5">
        <f>SUM(Q173:S173)</f>
        <v>0</v>
      </c>
      <c r="AK173" s="5">
        <f t="shared" si="67"/>
        <v>0</v>
      </c>
      <c r="AO173" s="5">
        <f t="shared" si="68"/>
        <v>0</v>
      </c>
      <c r="AS173" s="5">
        <f t="shared" si="69"/>
        <v>0</v>
      </c>
      <c r="AW173" s="5">
        <f t="shared" si="70"/>
        <v>0</v>
      </c>
      <c r="BA173" s="5">
        <f t="shared" si="71"/>
        <v>0</v>
      </c>
      <c r="BE173" s="5">
        <f t="shared" si="72"/>
        <v>0</v>
      </c>
      <c r="BI173" s="5">
        <f t="shared" si="73"/>
        <v>0</v>
      </c>
      <c r="BK173" s="171"/>
    </row>
    <row r="174" spans="1:63" ht="12.75" hidden="1" customHeight="1" x14ac:dyDescent="0.2">
      <c r="D174" s="174" t="s">
        <v>164</v>
      </c>
      <c r="E174" s="174"/>
      <c r="F174" s="175"/>
      <c r="G174" s="155"/>
      <c r="H174" s="23"/>
      <c r="I174" s="23"/>
      <c r="J174" s="23"/>
      <c r="K174" s="178"/>
      <c r="L174" s="157"/>
      <c r="P174" s="24"/>
      <c r="Q174" s="157"/>
      <c r="T174" s="175"/>
      <c r="U174" s="155"/>
      <c r="V174" s="23"/>
      <c r="W174" s="23"/>
      <c r="X174" s="23"/>
      <c r="Y174" s="178"/>
      <c r="Z174" s="157"/>
      <c r="AD174" s="24"/>
      <c r="AE174" s="157"/>
      <c r="AH174" s="24"/>
      <c r="AI174" s="157"/>
      <c r="AK174" s="5">
        <f t="shared" si="67"/>
        <v>0</v>
      </c>
      <c r="AM174" s="157"/>
      <c r="AO174" s="5">
        <f t="shared" si="68"/>
        <v>0</v>
      </c>
      <c r="AQ174" s="157"/>
      <c r="AS174" s="5">
        <f t="shared" si="69"/>
        <v>0</v>
      </c>
      <c r="AU174" s="157"/>
      <c r="AW174" s="5">
        <f t="shared" si="70"/>
        <v>0</v>
      </c>
      <c r="AY174" s="157"/>
      <c r="BA174" s="5">
        <f t="shared" si="71"/>
        <v>0</v>
      </c>
      <c r="BC174" s="157"/>
      <c r="BE174" s="5">
        <f t="shared" si="72"/>
        <v>0</v>
      </c>
      <c r="BG174" s="157"/>
      <c r="BI174" s="5">
        <f t="shared" si="73"/>
        <v>0</v>
      </c>
      <c r="BK174" s="171"/>
    </row>
    <row r="175" spans="1:63" ht="12.75" hidden="1" customHeight="1" x14ac:dyDescent="0.2">
      <c r="D175" s="174" t="s">
        <v>165</v>
      </c>
      <c r="E175" s="174"/>
      <c r="F175" s="175">
        <v>0</v>
      </c>
      <c r="G175" s="155"/>
      <c r="H175" s="23">
        <f>H206</f>
        <v>0</v>
      </c>
      <c r="I175" s="23"/>
      <c r="J175" s="23">
        <f>SUM(G175:I175)</f>
        <v>0</v>
      </c>
      <c r="K175" s="176">
        <v>0</v>
      </c>
      <c r="L175" s="157"/>
      <c r="M175" s="5">
        <f>M206</f>
        <v>0</v>
      </c>
      <c r="P175" s="5">
        <f>SUM(L175:N175)</f>
        <v>0</v>
      </c>
      <c r="Q175" s="5">
        <f>Q206</f>
        <v>0</v>
      </c>
      <c r="R175" s="5">
        <f>R206</f>
        <v>33.899999999999977</v>
      </c>
      <c r="S175" s="5">
        <f>S206</f>
        <v>0</v>
      </c>
      <c r="T175" s="175">
        <v>0</v>
      </c>
      <c r="U175" s="155"/>
      <c r="V175" s="23">
        <f>V206</f>
        <v>0</v>
      </c>
      <c r="W175" s="23"/>
      <c r="X175" s="23">
        <f>SUM(U175:W175)</f>
        <v>0</v>
      </c>
      <c r="Y175" s="176">
        <v>0</v>
      </c>
      <c r="Z175" s="157"/>
      <c r="AA175" s="5">
        <f>AA206</f>
        <v>0</v>
      </c>
      <c r="AD175" s="5">
        <f>SUM(Q175:S175)</f>
        <v>33.899999999999977</v>
      </c>
      <c r="AE175" s="5">
        <f>AE206</f>
        <v>0</v>
      </c>
      <c r="AF175" s="5">
        <f>AF206</f>
        <v>161.63099999999997</v>
      </c>
      <c r="AG175" s="5">
        <f>AG206</f>
        <v>0</v>
      </c>
      <c r="AI175" s="5">
        <f>AI206</f>
        <v>0</v>
      </c>
      <c r="AJ175" s="5">
        <f>AJ206</f>
        <v>0</v>
      </c>
      <c r="AK175" s="5">
        <f t="shared" si="67"/>
        <v>0</v>
      </c>
      <c r="AM175" s="5">
        <f>AM206</f>
        <v>0</v>
      </c>
      <c r="AN175" s="5">
        <f>AN206</f>
        <v>0</v>
      </c>
      <c r="AO175" s="5">
        <f t="shared" si="68"/>
        <v>0</v>
      </c>
      <c r="AQ175" s="5">
        <f>AQ206</f>
        <v>0</v>
      </c>
      <c r="AR175" s="5">
        <f>AR206</f>
        <v>0</v>
      </c>
      <c r="AS175" s="5">
        <f t="shared" si="69"/>
        <v>0</v>
      </c>
      <c r="AU175" s="5">
        <f>AU206</f>
        <v>0</v>
      </c>
      <c r="AV175" s="5">
        <f>AV206</f>
        <v>0</v>
      </c>
      <c r="AW175" s="5">
        <f t="shared" si="70"/>
        <v>0</v>
      </c>
      <c r="AY175" s="5">
        <f>AY206</f>
        <v>0</v>
      </c>
      <c r="AZ175" s="5">
        <f>AZ206</f>
        <v>0</v>
      </c>
      <c r="BA175" s="5">
        <f t="shared" si="71"/>
        <v>0</v>
      </c>
      <c r="BC175" s="5">
        <f>BC206</f>
        <v>0</v>
      </c>
      <c r="BD175" s="5">
        <f>BD206</f>
        <v>0</v>
      </c>
      <c r="BE175" s="5">
        <f t="shared" si="72"/>
        <v>0</v>
      </c>
      <c r="BG175" s="5">
        <f>BG206</f>
        <v>0</v>
      </c>
      <c r="BH175" s="5">
        <f>BH206</f>
        <v>0</v>
      </c>
      <c r="BI175" s="5">
        <f t="shared" si="73"/>
        <v>0</v>
      </c>
      <c r="BK175" s="171"/>
    </row>
    <row r="176" spans="1:63" ht="12.75" hidden="1" customHeight="1" x14ac:dyDescent="0.2">
      <c r="D176" s="174" t="s">
        <v>166</v>
      </c>
      <c r="E176" s="174"/>
      <c r="F176" s="175">
        <v>0</v>
      </c>
      <c r="G176" s="23">
        <f>G199</f>
        <v>5395</v>
      </c>
      <c r="H176" s="23">
        <f>H199</f>
        <v>0</v>
      </c>
      <c r="I176" s="23"/>
      <c r="J176" s="23">
        <f>SUM(G176:I176)</f>
        <v>5395</v>
      </c>
      <c r="K176" s="176">
        <v>0</v>
      </c>
      <c r="L176" s="5">
        <f>L199</f>
        <v>5395</v>
      </c>
      <c r="M176" s="5">
        <f>M199</f>
        <v>0</v>
      </c>
      <c r="P176" s="5">
        <f>SUM(L176:N176)</f>
        <v>5395</v>
      </c>
      <c r="Q176" s="5">
        <f>Q199</f>
        <v>1646.2</v>
      </c>
      <c r="R176" s="5">
        <f>R199</f>
        <v>0</v>
      </c>
      <c r="T176" s="175">
        <v>0</v>
      </c>
      <c r="U176" s="23">
        <f>U199</f>
        <v>5395</v>
      </c>
      <c r="V176" s="23">
        <f>V199</f>
        <v>0</v>
      </c>
      <c r="W176" s="23"/>
      <c r="X176" s="23">
        <f>SUM(U176:W176)</f>
        <v>5395</v>
      </c>
      <c r="Y176" s="176">
        <v>0</v>
      </c>
      <c r="Z176" s="5">
        <f>Z199</f>
        <v>5395</v>
      </c>
      <c r="AA176" s="5">
        <f>AA199</f>
        <v>0</v>
      </c>
      <c r="AD176" s="5">
        <f>SUM(Q176:S176)</f>
        <v>1646.2</v>
      </c>
      <c r="AE176" s="5">
        <f>AE199</f>
        <v>0</v>
      </c>
      <c r="AF176" s="5">
        <f>AF199</f>
        <v>0</v>
      </c>
      <c r="AI176" s="5">
        <f>AI199</f>
        <v>0</v>
      </c>
      <c r="AJ176" s="5">
        <f>AJ199</f>
        <v>0</v>
      </c>
      <c r="AK176" s="5">
        <f t="shared" si="67"/>
        <v>0</v>
      </c>
      <c r="AM176" s="5">
        <f>AM199</f>
        <v>0</v>
      </c>
      <c r="AN176" s="5">
        <f>AN199</f>
        <v>0</v>
      </c>
      <c r="AO176" s="5">
        <f t="shared" si="68"/>
        <v>0</v>
      </c>
      <c r="AQ176" s="5">
        <f>AQ199</f>
        <v>0</v>
      </c>
      <c r="AR176" s="5">
        <f>AR199</f>
        <v>0</v>
      </c>
      <c r="AS176" s="5">
        <f t="shared" si="69"/>
        <v>0</v>
      </c>
      <c r="AU176" s="5">
        <f>AU199</f>
        <v>0</v>
      </c>
      <c r="AV176" s="5">
        <f>AV199</f>
        <v>0</v>
      </c>
      <c r="AW176" s="5">
        <f t="shared" si="70"/>
        <v>0</v>
      </c>
      <c r="AY176" s="5">
        <f>AY199</f>
        <v>0</v>
      </c>
      <c r="AZ176" s="5">
        <f>AZ199</f>
        <v>0</v>
      </c>
      <c r="BA176" s="5">
        <f t="shared" si="71"/>
        <v>0</v>
      </c>
      <c r="BC176" s="5">
        <f>BC199</f>
        <v>0</v>
      </c>
      <c r="BD176" s="5">
        <f>BD199</f>
        <v>0</v>
      </c>
      <c r="BE176" s="5">
        <f t="shared" si="72"/>
        <v>0</v>
      </c>
      <c r="BG176" s="5">
        <f>BG199</f>
        <v>0</v>
      </c>
      <c r="BH176" s="5">
        <f>BH199</f>
        <v>0</v>
      </c>
      <c r="BI176" s="5">
        <f t="shared" si="73"/>
        <v>0</v>
      </c>
      <c r="BK176" s="171"/>
    </row>
    <row r="177" spans="1:63" ht="12.75" hidden="1" customHeight="1" x14ac:dyDescent="0.2">
      <c r="D177" s="174" t="s">
        <v>167</v>
      </c>
      <c r="E177" s="174"/>
      <c r="F177" s="175"/>
      <c r="G177" s="23"/>
      <c r="H177" s="23"/>
      <c r="I177" s="23"/>
      <c r="J177" s="23"/>
      <c r="K177" s="176"/>
      <c r="T177" s="175"/>
      <c r="U177" s="23"/>
      <c r="V177" s="23"/>
      <c r="W177" s="23"/>
      <c r="X177" s="23"/>
      <c r="Y177" s="176"/>
      <c r="AF177" s="5">
        <v>-3880.8</v>
      </c>
      <c r="AK177" s="5">
        <f t="shared" si="67"/>
        <v>0</v>
      </c>
      <c r="AO177" s="5">
        <f t="shared" si="68"/>
        <v>0</v>
      </c>
      <c r="AS177" s="5">
        <f t="shared" si="69"/>
        <v>0</v>
      </c>
      <c r="AW177" s="5">
        <f t="shared" si="70"/>
        <v>0</v>
      </c>
      <c r="BA177" s="5">
        <f t="shared" si="71"/>
        <v>0</v>
      </c>
      <c r="BE177" s="5">
        <f t="shared" si="72"/>
        <v>0</v>
      </c>
      <c r="BI177" s="5">
        <f t="shared" si="73"/>
        <v>0</v>
      </c>
      <c r="BK177" s="171"/>
    </row>
    <row r="178" spans="1:63" ht="12.75" hidden="1" customHeight="1" thickBot="1" x14ac:dyDescent="0.25">
      <c r="F178" s="175"/>
      <c r="G178" s="23"/>
      <c r="H178" s="23"/>
      <c r="I178" s="23"/>
      <c r="J178" s="23"/>
      <c r="K178" s="176"/>
      <c r="T178" s="175"/>
      <c r="U178" s="23"/>
      <c r="V178" s="23"/>
      <c r="W178" s="23"/>
      <c r="X178" s="23"/>
      <c r="Y178" s="176"/>
      <c r="AK178" s="5">
        <f t="shared" si="67"/>
        <v>0</v>
      </c>
      <c r="AO178" s="5">
        <f t="shared" si="68"/>
        <v>0</v>
      </c>
      <c r="AS178" s="5">
        <f t="shared" si="69"/>
        <v>0</v>
      </c>
      <c r="AW178" s="5">
        <f t="shared" si="70"/>
        <v>0</v>
      </c>
      <c r="BA178" s="5">
        <f t="shared" si="71"/>
        <v>0</v>
      </c>
      <c r="BE178" s="5">
        <f t="shared" si="72"/>
        <v>0</v>
      </c>
      <c r="BI178" s="5">
        <f t="shared" si="73"/>
        <v>0</v>
      </c>
      <c r="BK178" s="171"/>
    </row>
    <row r="179" spans="1:63" s="166" customFormat="1" ht="18" hidden="1" customHeight="1" thickBot="1" x14ac:dyDescent="0.3">
      <c r="A179" s="163"/>
      <c r="B179" s="164"/>
      <c r="C179" s="163"/>
      <c r="D179" s="160"/>
      <c r="E179" s="160"/>
      <c r="F179" s="42">
        <v>11550.366</v>
      </c>
      <c r="G179" s="42">
        <f>SUM(G167:G178)</f>
        <v>12116.246999999999</v>
      </c>
      <c r="H179" s="42">
        <f>SUM(H167:H178)</f>
        <v>-715.99099999999999</v>
      </c>
      <c r="I179" s="42">
        <f>SUM(I167:I178)</f>
        <v>0</v>
      </c>
      <c r="J179" s="42">
        <f>SUM(J172:J178)</f>
        <v>11400.256000000001</v>
      </c>
      <c r="K179" s="44">
        <v>11550.366</v>
      </c>
      <c r="L179" s="45">
        <f>SUM(L167:L178)</f>
        <v>12116.246999999999</v>
      </c>
      <c r="M179" s="45">
        <f>SUM(M167:M178)</f>
        <v>-715.99099999999999</v>
      </c>
      <c r="N179" s="45">
        <f>SUM(N167:N178)</f>
        <v>0</v>
      </c>
      <c r="O179" s="45"/>
      <c r="P179" s="44">
        <f>SUM(P172:P178)</f>
        <v>11400.256000000001</v>
      </c>
      <c r="Q179" s="45">
        <f>SUM(Q167:Q178)</f>
        <v>6675.3</v>
      </c>
      <c r="R179" s="45">
        <f>SUM(R167:R178)</f>
        <v>-1637</v>
      </c>
      <c r="S179" s="45">
        <f>SUM(S167:S178)</f>
        <v>0</v>
      </c>
      <c r="T179" s="42">
        <v>11550.366</v>
      </c>
      <c r="U179" s="42">
        <f>SUM(U167:U178)</f>
        <v>12116.246999999999</v>
      </c>
      <c r="V179" s="42">
        <f>SUM(V167:V178)</f>
        <v>-715.99099999999999</v>
      </c>
      <c r="W179" s="42">
        <f>SUM(W167:W178)</f>
        <v>0</v>
      </c>
      <c r="X179" s="42">
        <f>SUM(X172:X178)</f>
        <v>11400.256000000001</v>
      </c>
      <c r="Y179" s="44">
        <v>11550.366</v>
      </c>
      <c r="Z179" s="45">
        <f>SUM(Z167:Z178)</f>
        <v>12116.246999999999</v>
      </c>
      <c r="AA179" s="45">
        <f>SUM(AA167:AA178)</f>
        <v>-715.99099999999999</v>
      </c>
      <c r="AB179" s="45">
        <f>SUM(AB167:AB178)</f>
        <v>0</v>
      </c>
      <c r="AC179" s="45"/>
      <c r="AD179" s="44">
        <f>SUM(AD172:AD178)</f>
        <v>5406.2</v>
      </c>
      <c r="AE179" s="45">
        <f>SUM(AE167:AE178)</f>
        <v>3775.4930000000004</v>
      </c>
      <c r="AF179" s="45">
        <f>SUM(AF167:AF178)</f>
        <v>-7008.7849999999999</v>
      </c>
      <c r="AG179" s="45">
        <f>SUM(AG167:AG178)</f>
        <v>0</v>
      </c>
      <c r="AH179" s="44">
        <f>SUM(AH172:AH178)</f>
        <v>0</v>
      </c>
      <c r="AI179" s="45">
        <f>SUM(AI167:AI178)</f>
        <v>3327.8890000000001</v>
      </c>
      <c r="AJ179" s="45">
        <f>SUM(AJ167:AJ178)</f>
        <v>-2884.0880000000002</v>
      </c>
      <c r="AK179" s="44">
        <f>SUM(AK167:AK178)</f>
        <v>443.80099999999993</v>
      </c>
      <c r="AL179" s="143"/>
      <c r="AM179" s="45">
        <f>SUM(AM167:AM178)</f>
        <v>3504.4860000000003</v>
      </c>
      <c r="AN179" s="45">
        <f>SUM(AN167:AN178)</f>
        <v>-3221.9079999999999</v>
      </c>
      <c r="AO179" s="44">
        <f>SUM(AO167:AO178)</f>
        <v>282.57800000000026</v>
      </c>
      <c r="AP179" s="143"/>
      <c r="AQ179" s="45">
        <f>SUM(AQ167:AQ178)</f>
        <v>3697.4</v>
      </c>
      <c r="AR179" s="45">
        <f>SUM(AR167:AR178)</f>
        <v>-1951.616</v>
      </c>
      <c r="AS179" s="44">
        <f>SUM(AS167:AS178)</f>
        <v>1745.7840000000001</v>
      </c>
      <c r="AT179" s="143"/>
      <c r="AU179" s="45">
        <f>SUM(AU167:AU178)</f>
        <v>3644.8</v>
      </c>
      <c r="AV179" s="45">
        <f>SUM(AV167:AV178)</f>
        <v>-605.73399999999992</v>
      </c>
      <c r="AW179" s="44">
        <f>SUM(AW167:AW178)</f>
        <v>3039.0659999999998</v>
      </c>
      <c r="AX179" s="143"/>
      <c r="AY179" s="45">
        <f>SUM(AY167:AY178)</f>
        <v>3513</v>
      </c>
      <c r="AZ179" s="45">
        <f>SUM(AZ167:AZ178)</f>
        <v>-428.22800000000001</v>
      </c>
      <c r="BA179" s="44">
        <f>SUM(BA167:BA178)</f>
        <v>3084.7719999999999</v>
      </c>
      <c r="BB179" s="143"/>
      <c r="BC179" s="45">
        <f>SUM(BC167:BC178)</f>
        <v>4891.4070000000002</v>
      </c>
      <c r="BD179" s="45">
        <f>SUM(BD167:BD178)</f>
        <v>-60.021000000000001</v>
      </c>
      <c r="BE179" s="44">
        <f>SUM(BE167:BE178)</f>
        <v>4831.3859999999995</v>
      </c>
      <c r="BF179" s="143"/>
      <c r="BG179" s="45">
        <f>SUM(BG167:BG178)</f>
        <v>3514.7</v>
      </c>
      <c r="BH179" s="45">
        <f>SUM(BH167:BH178)</f>
        <v>-60.021000000000001</v>
      </c>
      <c r="BI179" s="44">
        <f>SUM(BI167:BI178)</f>
        <v>3454.6789999999996</v>
      </c>
      <c r="BJ179" s="143"/>
      <c r="BK179" s="165"/>
    </row>
    <row r="180" spans="1:63" ht="12.75" hidden="1" customHeight="1" thickTop="1" x14ac:dyDescent="0.2">
      <c r="F180" s="23"/>
      <c r="G180" s="23"/>
      <c r="H180" s="23"/>
      <c r="I180" s="23"/>
      <c r="J180" s="23"/>
      <c r="T180" s="23"/>
      <c r="U180" s="23"/>
      <c r="V180" s="23"/>
      <c r="W180" s="23"/>
      <c r="X180" s="23"/>
      <c r="AD180" s="5" t="s">
        <v>168</v>
      </c>
      <c r="AF180" s="5">
        <f>SUM(AE168:AF171)</f>
        <v>-303.52799999999979</v>
      </c>
      <c r="BK180" s="171"/>
    </row>
    <row r="181" spans="1:63" ht="12.75" hidden="1" customHeight="1" x14ac:dyDescent="0.2">
      <c r="F181" s="23"/>
      <c r="G181" s="23"/>
      <c r="H181" s="23"/>
      <c r="I181" s="23"/>
      <c r="J181" s="23"/>
      <c r="T181" s="23"/>
      <c r="U181" s="23"/>
      <c r="V181" s="23"/>
      <c r="W181" s="23"/>
      <c r="X181" s="23"/>
      <c r="BK181" s="171"/>
    </row>
    <row r="182" spans="1:63" ht="12.75" hidden="1" customHeight="1" x14ac:dyDescent="0.2">
      <c r="F182" s="23"/>
      <c r="G182" s="23" t="e">
        <f>G165-G179</f>
        <v>#REF!</v>
      </c>
      <c r="H182" s="23">
        <f>H165-H179</f>
        <v>-310.31999999999994</v>
      </c>
      <c r="I182" s="23"/>
      <c r="J182" s="23"/>
      <c r="L182" s="5" t="e">
        <f>L165-L179</f>
        <v>#REF!</v>
      </c>
      <c r="M182" s="5">
        <f>M165-M179</f>
        <v>-668.08400000000006</v>
      </c>
      <c r="Q182" s="5" t="e">
        <f>Q165-Q179</f>
        <v>#REF!</v>
      </c>
      <c r="R182" s="5">
        <f>R165-R179</f>
        <v>367.92500000000018</v>
      </c>
      <c r="T182" s="23"/>
      <c r="U182" s="23" t="e">
        <f>U165-U179</f>
        <v>#REF!</v>
      </c>
      <c r="V182" s="23">
        <f>V165-V179</f>
        <v>-9444.8379999999979</v>
      </c>
      <c r="W182" s="23"/>
      <c r="X182" s="23"/>
      <c r="Z182" s="5" t="e">
        <f>Z165-Z179</f>
        <v>#REF!</v>
      </c>
      <c r="AA182" s="5">
        <f>AA165-AA179</f>
        <v>-516.46199999999999</v>
      </c>
      <c r="AE182" s="5" t="e">
        <f>AE165-AE179</f>
        <v>#REF!</v>
      </c>
      <c r="AF182" s="5">
        <f>AF165-AF179</f>
        <v>-3611.025999999998</v>
      </c>
      <c r="AI182" s="5">
        <f>AI165-AI179</f>
        <v>0</v>
      </c>
      <c r="AJ182" s="5">
        <f>AJ165-AJ179</f>
        <v>0</v>
      </c>
      <c r="AK182" s="5">
        <f>AK165-AK179</f>
        <v>0</v>
      </c>
      <c r="AM182" s="5">
        <f>AM165-AM179</f>
        <v>-4.400000000032378E-2</v>
      </c>
      <c r="AN182" s="5">
        <f>AN165-AN179</f>
        <v>0</v>
      </c>
      <c r="AO182" s="5">
        <f>AO165-AO179</f>
        <v>-4.400000000015325E-2</v>
      </c>
      <c r="AQ182" s="5">
        <f>AQ165-AQ179</f>
        <v>-6.9999999991523509E-3</v>
      </c>
      <c r="AR182" s="5">
        <f>AR165-AR179</f>
        <v>0</v>
      </c>
      <c r="AS182" s="5">
        <f>AS165-AS179</f>
        <v>-6.9999999991523509E-3</v>
      </c>
      <c r="AU182" s="5">
        <f>AU165-AU179</f>
        <v>-3.4000000000560249E-2</v>
      </c>
      <c r="AV182" s="5">
        <f>AV165-AV179</f>
        <v>0</v>
      </c>
      <c r="AW182" s="5">
        <f>AW165-AW179</f>
        <v>-3.4000000000560249E-2</v>
      </c>
      <c r="AY182" s="5">
        <f>AY165-AY179</f>
        <v>4.0000000000418368E-2</v>
      </c>
      <c r="AZ182" s="5">
        <f>AZ165-AZ179</f>
        <v>0</v>
      </c>
      <c r="BA182" s="5">
        <f>BA165-BA179</f>
        <v>4.0000000000418368E-2</v>
      </c>
      <c r="BC182" s="5">
        <f>BC165-BC179</f>
        <v>3.999999999996362E-2</v>
      </c>
      <c r="BD182" s="5">
        <f>BD165-BD179</f>
        <v>0</v>
      </c>
      <c r="BE182" s="5">
        <f>BE165-BE179</f>
        <v>4.0000000000873115E-2</v>
      </c>
      <c r="BG182" s="5">
        <f>BG165-BG179</f>
        <v>0</v>
      </c>
      <c r="BH182" s="5">
        <f>BH165-BH179</f>
        <v>0</v>
      </c>
      <c r="BI182" s="5">
        <f>BI165-BI179</f>
        <v>0</v>
      </c>
      <c r="BK182" s="171"/>
    </row>
    <row r="183" spans="1:63" ht="12.75" hidden="1" customHeight="1" x14ac:dyDescent="0.25">
      <c r="F183" s="23"/>
      <c r="G183" s="198" t="s">
        <v>169</v>
      </c>
      <c r="H183" s="198"/>
      <c r="I183" s="23"/>
      <c r="J183" s="23"/>
      <c r="L183" s="193" t="s">
        <v>169</v>
      </c>
      <c r="M183" s="193"/>
      <c r="Q183" s="193" t="s">
        <v>169</v>
      </c>
      <c r="R183" s="193"/>
      <c r="T183" s="23"/>
      <c r="U183" s="198" t="s">
        <v>169</v>
      </c>
      <c r="V183" s="198"/>
      <c r="W183" s="23"/>
      <c r="X183" s="23"/>
      <c r="Z183" s="193" t="s">
        <v>169</v>
      </c>
      <c r="AA183" s="193"/>
      <c r="AE183" s="193" t="s">
        <v>169</v>
      </c>
      <c r="AF183" s="193"/>
      <c r="AI183" s="16" t="s">
        <v>169</v>
      </c>
      <c r="AJ183" s="16"/>
      <c r="AM183" s="16" t="s">
        <v>169</v>
      </c>
      <c r="AN183" s="16"/>
      <c r="AQ183" s="16" t="s">
        <v>169</v>
      </c>
      <c r="AR183" s="16"/>
      <c r="AU183" s="16" t="s">
        <v>169</v>
      </c>
      <c r="AV183" s="16"/>
      <c r="AY183" s="16" t="s">
        <v>169</v>
      </c>
      <c r="AZ183" s="16"/>
      <c r="BC183" s="16" t="s">
        <v>169</v>
      </c>
      <c r="BD183" s="16"/>
      <c r="BG183" s="16" t="s">
        <v>169</v>
      </c>
      <c r="BH183" s="16"/>
      <c r="BK183" s="171"/>
    </row>
    <row r="184" spans="1:63" ht="12.75" hidden="1" customHeight="1" x14ac:dyDescent="0.2">
      <c r="F184" s="23"/>
      <c r="G184" s="23"/>
      <c r="H184" s="23"/>
      <c r="I184" s="23"/>
      <c r="J184" s="23"/>
      <c r="T184" s="23"/>
      <c r="U184" s="23"/>
      <c r="V184" s="23"/>
      <c r="W184" s="23"/>
      <c r="X184" s="23"/>
    </row>
    <row r="185" spans="1:63" ht="12.75" hidden="1" customHeight="1" x14ac:dyDescent="0.2">
      <c r="F185" s="23"/>
      <c r="G185" s="23"/>
      <c r="H185" s="23"/>
      <c r="I185" s="23"/>
      <c r="J185" s="23"/>
      <c r="T185" s="23"/>
      <c r="U185" s="23"/>
      <c r="V185" s="23"/>
      <c r="W185" s="23"/>
      <c r="X185" s="23"/>
    </row>
    <row r="186" spans="1:63" ht="12.75" hidden="1" customHeight="1" x14ac:dyDescent="0.2">
      <c r="F186" s="23"/>
      <c r="G186" s="23"/>
      <c r="H186" s="23"/>
      <c r="I186" s="23"/>
      <c r="J186" s="23"/>
      <c r="T186" s="23"/>
      <c r="U186" s="23"/>
      <c r="V186" s="23"/>
      <c r="W186" s="23"/>
      <c r="X186" s="23"/>
    </row>
    <row r="187" spans="1:63" ht="12.75" hidden="1" customHeight="1" x14ac:dyDescent="0.2">
      <c r="F187" s="23"/>
      <c r="G187" s="23"/>
      <c r="H187" s="23"/>
      <c r="I187" s="23"/>
      <c r="J187" s="23"/>
      <c r="L187" s="177"/>
      <c r="T187" s="23"/>
      <c r="U187" s="23"/>
      <c r="V187" s="23"/>
      <c r="W187" s="23"/>
      <c r="X187" s="23"/>
      <c r="Z187" s="177"/>
    </row>
    <row r="188" spans="1:63" ht="12.75" hidden="1" customHeight="1" x14ac:dyDescent="0.2">
      <c r="F188" s="23"/>
      <c r="G188" s="23"/>
      <c r="H188" s="23"/>
      <c r="I188" s="23" t="s">
        <v>142</v>
      </c>
      <c r="J188" s="23"/>
      <c r="L188" s="177"/>
      <c r="N188" s="5" t="s">
        <v>142</v>
      </c>
      <c r="Q188" s="177">
        <v>37.200000000000003</v>
      </c>
      <c r="S188" s="185" t="s">
        <v>142</v>
      </c>
      <c r="T188" s="23"/>
      <c r="U188" s="23"/>
      <c r="V188" s="23"/>
      <c r="W188" s="23" t="s">
        <v>142</v>
      </c>
      <c r="X188" s="23"/>
      <c r="Z188" s="177"/>
      <c r="AB188" s="5" t="s">
        <v>142</v>
      </c>
      <c r="AG188" s="185" t="s">
        <v>142</v>
      </c>
      <c r="AK188" s="185" t="s">
        <v>142</v>
      </c>
      <c r="AO188" s="185" t="s">
        <v>142</v>
      </c>
      <c r="AS188" s="185" t="s">
        <v>142</v>
      </c>
      <c r="AW188" s="185" t="s">
        <v>142</v>
      </c>
      <c r="BA188" s="185" t="s">
        <v>142</v>
      </c>
      <c r="BE188" s="185" t="s">
        <v>142</v>
      </c>
      <c r="BI188" s="185" t="s">
        <v>142</v>
      </c>
    </row>
    <row r="189" spans="1:63" ht="12.75" hidden="1" customHeight="1" x14ac:dyDescent="0.2">
      <c r="F189" s="23"/>
      <c r="G189" s="23">
        <v>600</v>
      </c>
      <c r="H189" s="23"/>
      <c r="I189" s="23" t="s">
        <v>170</v>
      </c>
      <c r="J189" s="23"/>
      <c r="L189" s="5">
        <v>600</v>
      </c>
      <c r="N189" s="5" t="s">
        <v>170</v>
      </c>
      <c r="T189" s="23"/>
      <c r="U189" s="23">
        <v>600</v>
      </c>
      <c r="V189" s="23"/>
      <c r="W189" s="23" t="s">
        <v>170</v>
      </c>
      <c r="X189" s="23"/>
      <c r="Z189" s="5">
        <v>600</v>
      </c>
      <c r="AB189" s="5" t="s">
        <v>170</v>
      </c>
    </row>
    <row r="190" spans="1:63" ht="12.75" hidden="1" customHeight="1" x14ac:dyDescent="0.2">
      <c r="F190" s="23"/>
      <c r="G190" s="23"/>
      <c r="H190" s="23"/>
      <c r="I190" s="23" t="s">
        <v>171</v>
      </c>
      <c r="J190" s="23"/>
      <c r="N190" s="5" t="s">
        <v>171</v>
      </c>
      <c r="T190" s="23"/>
      <c r="U190" s="23"/>
      <c r="V190" s="23"/>
      <c r="W190" s="23" t="s">
        <v>171</v>
      </c>
      <c r="X190" s="23"/>
      <c r="AB190" s="5" t="s">
        <v>171</v>
      </c>
    </row>
    <row r="191" spans="1:63" ht="12.75" hidden="1" customHeight="1" x14ac:dyDescent="0.2">
      <c r="F191" s="23"/>
      <c r="G191" s="23">
        <f>4795</f>
        <v>4795</v>
      </c>
      <c r="H191" s="23"/>
      <c r="I191" s="23" t="s">
        <v>172</v>
      </c>
      <c r="J191" s="23"/>
      <c r="L191" s="5">
        <f>4795</f>
        <v>4795</v>
      </c>
      <c r="N191" s="5" t="s">
        <v>172</v>
      </c>
      <c r="Q191" s="5">
        <v>59</v>
      </c>
      <c r="S191" s="185" t="s">
        <v>142</v>
      </c>
      <c r="T191" s="23"/>
      <c r="U191" s="23">
        <f>4795</f>
        <v>4795</v>
      </c>
      <c r="V191" s="23"/>
      <c r="W191" s="23" t="s">
        <v>172</v>
      </c>
      <c r="X191" s="23"/>
      <c r="Z191" s="5">
        <f>4795</f>
        <v>4795</v>
      </c>
      <c r="AB191" s="5" t="s">
        <v>172</v>
      </c>
      <c r="AG191" s="185" t="s">
        <v>142</v>
      </c>
      <c r="AK191" s="185" t="s">
        <v>142</v>
      </c>
      <c r="AO191" s="185" t="s">
        <v>142</v>
      </c>
      <c r="AS191" s="185" t="s">
        <v>142</v>
      </c>
      <c r="AW191" s="185" t="s">
        <v>142</v>
      </c>
      <c r="BA191" s="185" t="s">
        <v>142</v>
      </c>
      <c r="BE191" s="185" t="s">
        <v>142</v>
      </c>
      <c r="BI191" s="185" t="s">
        <v>142</v>
      </c>
    </row>
    <row r="192" spans="1:63" ht="12.75" hidden="1" customHeight="1" x14ac:dyDescent="0.2">
      <c r="F192" s="23"/>
      <c r="G192" s="23"/>
      <c r="H192" s="23"/>
      <c r="I192" s="186"/>
      <c r="J192" s="23"/>
      <c r="N192" s="185"/>
      <c r="O192" s="185"/>
      <c r="S192" s="185"/>
      <c r="T192" s="23"/>
      <c r="U192" s="23"/>
      <c r="V192" s="23"/>
      <c r="W192" s="186"/>
      <c r="X192" s="23"/>
      <c r="AB192" s="185"/>
      <c r="AC192" s="185"/>
      <c r="AG192" s="185"/>
      <c r="AK192" s="185"/>
      <c r="AO192" s="185"/>
      <c r="AS192" s="185"/>
      <c r="AW192" s="185"/>
      <c r="BA192" s="185"/>
      <c r="BE192" s="185"/>
      <c r="BI192" s="185"/>
    </row>
    <row r="193" spans="1:62" ht="12.75" hidden="1" customHeight="1" x14ac:dyDescent="0.2">
      <c r="F193" s="23"/>
      <c r="G193" s="23"/>
      <c r="H193" s="23"/>
      <c r="I193" s="186" t="s">
        <v>142</v>
      </c>
      <c r="J193" s="23"/>
      <c r="N193" s="185" t="s">
        <v>142</v>
      </c>
      <c r="O193" s="185"/>
      <c r="Q193" s="5">
        <v>50</v>
      </c>
      <c r="S193" s="185" t="s">
        <v>142</v>
      </c>
      <c r="T193" s="23"/>
      <c r="U193" s="23"/>
      <c r="V193" s="23"/>
      <c r="W193" s="186" t="s">
        <v>142</v>
      </c>
      <c r="X193" s="23"/>
      <c r="AB193" s="185" t="s">
        <v>142</v>
      </c>
      <c r="AC193" s="185"/>
      <c r="AG193" s="185" t="s">
        <v>142</v>
      </c>
      <c r="AK193" s="185" t="s">
        <v>142</v>
      </c>
      <c r="AO193" s="185" t="s">
        <v>142</v>
      </c>
      <c r="AS193" s="185" t="s">
        <v>142</v>
      </c>
      <c r="AW193" s="185" t="s">
        <v>142</v>
      </c>
      <c r="BA193" s="185" t="s">
        <v>142</v>
      </c>
      <c r="BE193" s="185" t="s">
        <v>142</v>
      </c>
      <c r="BI193" s="185" t="s">
        <v>142</v>
      </c>
    </row>
    <row r="194" spans="1:62" ht="12.75" hidden="1" customHeight="1" x14ac:dyDescent="0.2">
      <c r="F194" s="23"/>
      <c r="G194" s="23"/>
      <c r="H194" s="23"/>
      <c r="I194" s="186"/>
      <c r="J194" s="23"/>
      <c r="N194" s="185"/>
      <c r="O194" s="185"/>
      <c r="S194" s="185"/>
      <c r="T194" s="23"/>
      <c r="U194" s="23"/>
      <c r="V194" s="23"/>
      <c r="W194" s="186"/>
      <c r="X194" s="23"/>
      <c r="AB194" s="185"/>
      <c r="AC194" s="185"/>
      <c r="AG194" s="185" t="s">
        <v>173</v>
      </c>
      <c r="AK194" s="185"/>
      <c r="AO194" s="185"/>
      <c r="AS194" s="185"/>
      <c r="AW194" s="185"/>
      <c r="BA194" s="185"/>
      <c r="BE194" s="185"/>
      <c r="BI194" s="185"/>
    </row>
    <row r="195" spans="1:62" ht="12.75" hidden="1" customHeight="1" x14ac:dyDescent="0.2">
      <c r="F195" s="23"/>
      <c r="G195" s="23"/>
      <c r="H195" s="23"/>
      <c r="I195" s="186"/>
      <c r="J195" s="23"/>
      <c r="N195" s="185"/>
      <c r="O195" s="185"/>
      <c r="Q195" s="5">
        <v>1000</v>
      </c>
      <c r="S195" s="185" t="s">
        <v>174</v>
      </c>
      <c r="T195" s="23"/>
      <c r="U195" s="23"/>
      <c r="V195" s="23"/>
      <c r="W195" s="186"/>
      <c r="X195" s="23"/>
      <c r="AB195" s="185"/>
      <c r="AC195" s="185"/>
      <c r="AG195" s="185"/>
      <c r="AK195" s="185"/>
      <c r="AO195" s="185"/>
      <c r="AS195" s="185"/>
      <c r="AW195" s="185"/>
      <c r="BA195" s="185"/>
      <c r="BE195" s="185"/>
      <c r="BI195" s="185"/>
    </row>
    <row r="196" spans="1:62" ht="12.75" hidden="1" customHeight="1" x14ac:dyDescent="0.2">
      <c r="F196" s="23"/>
      <c r="G196" s="23"/>
      <c r="H196" s="23"/>
      <c r="I196" s="186"/>
      <c r="J196" s="23"/>
      <c r="N196" s="185"/>
      <c r="O196" s="185"/>
      <c r="Q196" s="5">
        <v>500</v>
      </c>
      <c r="S196" s="185" t="s">
        <v>175</v>
      </c>
      <c r="T196" s="23"/>
      <c r="U196" s="23"/>
      <c r="V196" s="23"/>
      <c r="W196" s="186"/>
      <c r="X196" s="23"/>
      <c r="AB196" s="185"/>
      <c r="AC196" s="185"/>
      <c r="AG196" s="185"/>
      <c r="AK196" s="185"/>
      <c r="AO196" s="185"/>
      <c r="AS196" s="185"/>
      <c r="AW196" s="185"/>
      <c r="BA196" s="185"/>
      <c r="BE196" s="185"/>
      <c r="BI196" s="185"/>
    </row>
    <row r="197" spans="1:62" ht="12.75" hidden="1" customHeight="1" x14ac:dyDescent="0.2">
      <c r="F197" s="23"/>
      <c r="G197" s="23"/>
      <c r="H197" s="23"/>
      <c r="I197" s="186"/>
      <c r="J197" s="23"/>
      <c r="N197" s="185"/>
      <c r="O197" s="185"/>
      <c r="S197" s="185"/>
      <c r="T197" s="23"/>
      <c r="U197" s="23"/>
      <c r="V197" s="23"/>
      <c r="W197" s="186"/>
      <c r="X197" s="23"/>
      <c r="AB197" s="185"/>
      <c r="AC197" s="185"/>
      <c r="AG197" s="185"/>
      <c r="AK197" s="185"/>
      <c r="AO197" s="185"/>
      <c r="AS197" s="185"/>
      <c r="AW197" s="185"/>
      <c r="BA197" s="185"/>
      <c r="BE197" s="185"/>
      <c r="BI197" s="185"/>
    </row>
    <row r="198" spans="1:62" ht="12.75" hidden="1" customHeight="1" x14ac:dyDescent="0.2">
      <c r="F198" s="23"/>
      <c r="G198" s="23"/>
      <c r="H198" s="23"/>
      <c r="I198" s="23"/>
      <c r="J198" s="23"/>
      <c r="T198" s="23"/>
      <c r="U198" s="23"/>
      <c r="V198" s="23"/>
      <c r="W198" s="23"/>
      <c r="X198" s="23"/>
    </row>
    <row r="199" spans="1:62" ht="12.75" hidden="1" customHeight="1" x14ac:dyDescent="0.2">
      <c r="F199" s="23"/>
      <c r="G199" s="187">
        <f>SUM(G184:G198)</f>
        <v>5395</v>
      </c>
      <c r="H199" s="187">
        <f>SUM(H184:H198)</f>
        <v>0</v>
      </c>
      <c r="I199" s="23"/>
      <c r="J199" s="23"/>
      <c r="L199" s="188">
        <f>SUM(L184:L198)</f>
        <v>5395</v>
      </c>
      <c r="M199" s="188">
        <f>SUM(M184:M198)</f>
        <v>0</v>
      </c>
      <c r="Q199" s="188">
        <f>SUM(Q184:Q198)</f>
        <v>1646.2</v>
      </c>
      <c r="R199" s="188">
        <f>SUM(R184:R198)</f>
        <v>0</v>
      </c>
      <c r="T199" s="23"/>
      <c r="U199" s="187">
        <f>SUM(U184:U198)</f>
        <v>5395</v>
      </c>
      <c r="V199" s="187">
        <f>SUM(V184:V198)</f>
        <v>0</v>
      </c>
      <c r="W199" s="23"/>
      <c r="X199" s="23"/>
      <c r="Z199" s="188">
        <f>SUM(Z184:Z198)</f>
        <v>5395</v>
      </c>
      <c r="AA199" s="188">
        <f>SUM(AA184:AA198)</f>
        <v>0</v>
      </c>
      <c r="AE199" s="188">
        <f>SUM(AE184:AE198)</f>
        <v>0</v>
      </c>
      <c r="AF199" s="188">
        <f>SUM(AF184:AF198)</f>
        <v>0</v>
      </c>
      <c r="AI199" s="188">
        <f>SUM(AI184:AI198)</f>
        <v>0</v>
      </c>
      <c r="AJ199" s="188">
        <f>SUM(AJ184:AJ198)</f>
        <v>0</v>
      </c>
      <c r="AM199" s="188">
        <f>SUM(AM184:AM198)</f>
        <v>0</v>
      </c>
      <c r="AN199" s="188">
        <f>SUM(AN184:AN198)</f>
        <v>0</v>
      </c>
      <c r="AQ199" s="188">
        <f>SUM(AQ184:AQ198)</f>
        <v>0</v>
      </c>
      <c r="AR199" s="188">
        <f>SUM(AR184:AR198)</f>
        <v>0</v>
      </c>
      <c r="AU199" s="188">
        <f>SUM(AU184:AU198)</f>
        <v>0</v>
      </c>
      <c r="AV199" s="188">
        <f>SUM(AV184:AV198)</f>
        <v>0</v>
      </c>
      <c r="AY199" s="188">
        <f>SUM(AY184:AY198)</f>
        <v>0</v>
      </c>
      <c r="AZ199" s="188">
        <f>SUM(AZ184:AZ198)</f>
        <v>0</v>
      </c>
      <c r="BC199" s="188">
        <f>SUM(BC184:BC198)</f>
        <v>0</v>
      </c>
      <c r="BD199" s="188">
        <f>SUM(BD184:BD198)</f>
        <v>0</v>
      </c>
      <c r="BG199" s="188">
        <f>SUM(BG184:BG198)</f>
        <v>0</v>
      </c>
      <c r="BH199" s="188">
        <f>SUM(BH184:BH198)</f>
        <v>0</v>
      </c>
    </row>
    <row r="200" spans="1:62" ht="12.75" hidden="1" customHeight="1" x14ac:dyDescent="0.2">
      <c r="F200" s="23"/>
      <c r="G200" s="23"/>
      <c r="H200" s="23"/>
      <c r="I200" s="23"/>
      <c r="J200" s="23"/>
      <c r="T200" s="23"/>
      <c r="U200" s="23"/>
      <c r="V200" s="23"/>
      <c r="W200" s="23"/>
      <c r="X200" s="23"/>
    </row>
    <row r="201" spans="1:62" s="189" customFormat="1" ht="12.75" hidden="1" customHeight="1" x14ac:dyDescent="0.25">
      <c r="A201" s="2"/>
      <c r="B201" s="2"/>
      <c r="C201" s="2"/>
      <c r="F201" s="190"/>
      <c r="G201" s="194" t="s">
        <v>176</v>
      </c>
      <c r="H201" s="194"/>
      <c r="I201" s="190"/>
      <c r="J201" s="190"/>
      <c r="K201" s="191"/>
      <c r="L201" s="195" t="s">
        <v>176</v>
      </c>
      <c r="M201" s="195"/>
      <c r="N201" s="191"/>
      <c r="O201" s="191"/>
      <c r="P201" s="191"/>
      <c r="Q201" s="195" t="s">
        <v>176</v>
      </c>
      <c r="R201" s="195"/>
      <c r="S201" s="191"/>
      <c r="T201" s="190"/>
      <c r="U201" s="194" t="s">
        <v>176</v>
      </c>
      <c r="V201" s="194"/>
      <c r="W201" s="190"/>
      <c r="X201" s="190"/>
      <c r="Y201" s="191"/>
      <c r="Z201" s="195" t="s">
        <v>176</v>
      </c>
      <c r="AA201" s="195"/>
      <c r="AB201" s="191"/>
      <c r="AC201" s="191"/>
      <c r="AD201" s="191"/>
      <c r="AE201" s="195" t="s">
        <v>176</v>
      </c>
      <c r="AF201" s="195"/>
      <c r="AG201" s="191"/>
      <c r="AH201" s="191"/>
      <c r="AI201" s="192" t="s">
        <v>176</v>
      </c>
      <c r="AJ201" s="192"/>
      <c r="AK201" s="191"/>
      <c r="AL201" s="191"/>
      <c r="AM201" s="192" t="s">
        <v>176</v>
      </c>
      <c r="AN201" s="192"/>
      <c r="AO201" s="191"/>
      <c r="AP201" s="191"/>
      <c r="AQ201" s="192" t="s">
        <v>176</v>
      </c>
      <c r="AR201" s="192"/>
      <c r="AS201" s="191"/>
      <c r="AT201" s="191"/>
      <c r="AU201" s="192" t="s">
        <v>176</v>
      </c>
      <c r="AV201" s="192"/>
      <c r="AW201" s="191"/>
      <c r="AX201" s="191"/>
      <c r="AY201" s="192" t="s">
        <v>176</v>
      </c>
      <c r="AZ201" s="192"/>
      <c r="BA201" s="191"/>
      <c r="BB201" s="191"/>
      <c r="BC201" s="192" t="s">
        <v>176</v>
      </c>
      <c r="BD201" s="192"/>
      <c r="BE201" s="191"/>
      <c r="BF201" s="191"/>
      <c r="BG201" s="192" t="s">
        <v>176</v>
      </c>
      <c r="BH201" s="192"/>
      <c r="BI201" s="191"/>
      <c r="BJ201" s="191"/>
    </row>
    <row r="202" spans="1:62" ht="12.75" hidden="1" customHeight="1" x14ac:dyDescent="0.2">
      <c r="F202" s="23"/>
      <c r="G202" s="23"/>
      <c r="H202" s="23"/>
      <c r="I202" s="23"/>
      <c r="J202" s="23"/>
      <c r="T202" s="23"/>
      <c r="U202" s="23"/>
      <c r="V202" s="23"/>
      <c r="W202" s="23"/>
      <c r="X202" s="23"/>
    </row>
    <row r="203" spans="1:62" ht="12.75" hidden="1" customHeight="1" x14ac:dyDescent="0.2">
      <c r="F203" s="23"/>
      <c r="G203" s="23"/>
      <c r="H203" s="23"/>
      <c r="I203" s="186"/>
      <c r="J203" s="23"/>
      <c r="N203" s="185"/>
      <c r="O203" s="185"/>
      <c r="Q203" s="5">
        <f>Q71-Q169</f>
        <v>0</v>
      </c>
      <c r="R203" s="5">
        <f>R71-R169</f>
        <v>33.899999999999977</v>
      </c>
      <c r="T203" s="23"/>
      <c r="U203" s="23"/>
      <c r="V203" s="23"/>
      <c r="W203" s="186"/>
      <c r="X203" s="23"/>
      <c r="AB203" s="185"/>
      <c r="AC203" s="185"/>
      <c r="AF203" s="5">
        <f>AF71-AF169</f>
        <v>161.63099999999997</v>
      </c>
      <c r="AM203" s="5">
        <f>AM71-AM169</f>
        <v>0</v>
      </c>
      <c r="AQ203" s="5">
        <f>AQ71-AQ169</f>
        <v>0</v>
      </c>
      <c r="AR203" s="5">
        <f>AR71-AR169</f>
        <v>0</v>
      </c>
      <c r="AU203" s="5">
        <f>AU71-AU169</f>
        <v>0</v>
      </c>
      <c r="AV203" s="5">
        <f>AV71-AV169</f>
        <v>0</v>
      </c>
      <c r="AY203" s="5">
        <f>AY71-AY169</f>
        <v>0</v>
      </c>
      <c r="AZ203" s="5">
        <f>AZ71-AZ169</f>
        <v>0</v>
      </c>
      <c r="BC203" s="5">
        <f>BC71-BC169</f>
        <v>0</v>
      </c>
      <c r="BD203" s="5">
        <f>BD71-BD169</f>
        <v>0</v>
      </c>
      <c r="BG203" s="5">
        <f>BG71-BG169</f>
        <v>0</v>
      </c>
      <c r="BH203" s="5">
        <f>BH71-BH169</f>
        <v>0</v>
      </c>
    </row>
    <row r="204" spans="1:62" ht="12.75" hidden="1" customHeight="1" x14ac:dyDescent="0.2">
      <c r="F204" s="23"/>
      <c r="G204" s="23"/>
      <c r="H204" s="23"/>
      <c r="I204" s="186" t="s">
        <v>177</v>
      </c>
      <c r="J204" s="23"/>
      <c r="N204" s="185" t="s">
        <v>177</v>
      </c>
      <c r="O204" s="185"/>
      <c r="T204" s="23"/>
      <c r="U204" s="23"/>
      <c r="V204" s="23"/>
      <c r="W204" s="186" t="s">
        <v>177</v>
      </c>
      <c r="X204" s="23"/>
      <c r="AB204" s="185" t="s">
        <v>177</v>
      </c>
      <c r="AC204" s="185"/>
    </row>
    <row r="205" spans="1:62" ht="12.75" hidden="1" customHeight="1" x14ac:dyDescent="0.2">
      <c r="F205" s="23"/>
      <c r="G205" s="23"/>
      <c r="H205" s="23"/>
      <c r="I205" s="186"/>
      <c r="J205" s="23"/>
      <c r="N205" s="185"/>
      <c r="O205" s="185"/>
      <c r="T205" s="23"/>
      <c r="U205" s="23"/>
      <c r="V205" s="23"/>
      <c r="W205" s="186"/>
      <c r="X205" s="23"/>
      <c r="AB205" s="185"/>
      <c r="AC205" s="185"/>
    </row>
    <row r="206" spans="1:62" ht="12.75" hidden="1" customHeight="1" x14ac:dyDescent="0.2">
      <c r="F206" s="23"/>
      <c r="G206" s="187">
        <f>SUM(G202:G205)</f>
        <v>0</v>
      </c>
      <c r="H206" s="187">
        <f>SUM(H202:H205)</f>
        <v>0</v>
      </c>
      <c r="I206" s="23"/>
      <c r="J206" s="23"/>
      <c r="L206" s="188">
        <f>SUM(L202:L205)</f>
        <v>0</v>
      </c>
      <c r="M206" s="188">
        <f>SUM(M202:M205)</f>
        <v>0</v>
      </c>
      <c r="Q206" s="188">
        <f>SUM(Q202:Q205)</f>
        <v>0</v>
      </c>
      <c r="R206" s="188">
        <f>SUM(R202:R205)</f>
        <v>33.899999999999977</v>
      </c>
      <c r="T206" s="23"/>
      <c r="U206" s="187">
        <f>SUM(U202:U205)</f>
        <v>0</v>
      </c>
      <c r="V206" s="187">
        <f>SUM(V202:V205)</f>
        <v>0</v>
      </c>
      <c r="W206" s="23"/>
      <c r="X206" s="23"/>
      <c r="Z206" s="188">
        <f>SUM(Z202:Z205)</f>
        <v>0</v>
      </c>
      <c r="AA206" s="188">
        <f>SUM(AA202:AA205)</f>
        <v>0</v>
      </c>
      <c r="AE206" s="188">
        <f>SUM(AE202:AE205)</f>
        <v>0</v>
      </c>
      <c r="AF206" s="188">
        <f>SUM(AF202:AF205)</f>
        <v>161.63099999999997</v>
      </c>
      <c r="AI206" s="188">
        <f>SUM(AI202:AI205)</f>
        <v>0</v>
      </c>
      <c r="AJ206" s="188">
        <f>SUM(AJ202:AJ205)</f>
        <v>0</v>
      </c>
      <c r="AN206" s="188">
        <f>SUM(AN202:AN205)</f>
        <v>0</v>
      </c>
      <c r="AR206" s="188">
        <f>SUM(AR202:AR205)</f>
        <v>0</v>
      </c>
      <c r="AV206" s="188">
        <f>SUM(AV202:AV205)</f>
        <v>0</v>
      </c>
      <c r="AZ206" s="188">
        <f>SUM(AZ202:AZ205)</f>
        <v>0</v>
      </c>
      <c r="BD206" s="188">
        <f>SUM(BD202:BD205)</f>
        <v>0</v>
      </c>
      <c r="BH206" s="188">
        <f>SUM(BH202:BH205)</f>
        <v>0</v>
      </c>
    </row>
    <row r="207" spans="1:62" ht="12.75" hidden="1" customHeight="1" x14ac:dyDescent="0.2">
      <c r="F207" s="23"/>
      <c r="G207" s="23"/>
      <c r="H207" s="23"/>
      <c r="I207" s="23"/>
      <c r="J207" s="23"/>
      <c r="T207" s="23"/>
      <c r="U207" s="23"/>
      <c r="V207" s="23"/>
      <c r="W207" s="23"/>
      <c r="X207" s="23"/>
    </row>
    <row r="208" spans="1:62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</sheetData>
  <mergeCells count="17">
    <mergeCell ref="F1:J1"/>
    <mergeCell ref="K1:O1"/>
    <mergeCell ref="P1:S1"/>
    <mergeCell ref="T1:X1"/>
    <mergeCell ref="Y1:AC1"/>
    <mergeCell ref="AE183:AF183"/>
    <mergeCell ref="G201:H201"/>
    <mergeCell ref="L201:M201"/>
    <mergeCell ref="Q201:R201"/>
    <mergeCell ref="U201:V201"/>
    <mergeCell ref="Z201:AA201"/>
    <mergeCell ref="AE201:AF201"/>
    <mergeCell ref="G183:H183"/>
    <mergeCell ref="L183:M183"/>
    <mergeCell ref="Q183:R183"/>
    <mergeCell ref="U183:V183"/>
    <mergeCell ref="Z183:AA183"/>
  </mergeCells>
  <pageMargins left="0.35433070866141736" right="0.19685039370078741" top="0.43307086614173229" bottom="0.27559055118110237" header="0.15748031496062992" footer="0.15748031496062992"/>
  <pageSetup paperSize="8" scale="45" orientation="landscape" r:id="rId1"/>
  <headerFooter alignWithMargins="0">
    <oddHeader>&amp;L&amp;"Arial,Bold"&amp;14
North Yorkshire Police &amp;C&amp;"arial unicode ms,Regular"&amp;11NOT PROTECTIVELY MARKED      
&amp;R&amp;"Arial,Bold"&amp;14
&amp;A</oddHeader>
    <oddFooter xml:space="preserve">&amp;R&amp;11
 &amp;D&amp;C&amp;"arial unicode ms,Regular"&amp;11NOT PROTECTIVELY MARKED      
</oddFooter>
    <evenHeader xml:space="preserve">&amp;C&amp;"arial unicode ms,Regular"&amp;11NOT PROTECTIVELY MARKED      
&amp;R&amp;"Arial,Bold"&amp;14
&amp;A&amp;L&amp;"Arial,Bold"&amp;14
North Yorkshire Police </evenHeader>
    <evenFooter>&amp;C&amp;"arial unicode ms,Regular"&amp;11NOT PROTECTIVELY MARKED      
&amp;R&amp;11
 &amp;D</evenFooter>
    <firstHeader xml:space="preserve">&amp;C&amp;"arial unicode ms,Regular"&amp;11NOT PROTECTIVELY MARKED      
&amp;R&amp;"Arial,Bold"&amp;14
&amp;A&amp;L&amp;"Arial,Bold"&amp;14
North Yorkshire Police </firstHeader>
    <firstFooter>&amp;C&amp;"arial unicode ms,Regular"&amp;11NOT PROTECTIVELY MARKED      
&amp;R&amp;11
 &amp;D</first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C</vt:lpstr>
      <vt:lpstr>'Appendix C'!Print_Area</vt:lpstr>
      <vt:lpstr>'Appendix 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Porter, Michael</dc:creator>
  <cp:lastModifiedBy>Simon Jones</cp:lastModifiedBy>
  <cp:lastPrinted>2016-02-16T17:29:03Z</cp:lastPrinted>
  <dcterms:created xsi:type="dcterms:W3CDTF">2016-02-16T16:42:54Z</dcterms:created>
  <dcterms:modified xsi:type="dcterms:W3CDTF">2016-03-04T10:18:15Z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e12274e5-8ea1-44df-a066-7ee7dcc804dd</vt:lpwstr>
  </property>
  <property fmtid="{D5CDD505-2E9C-101B-9397-08002B2CF9AE}" pid="3" name="NORTH YORKSHIRE POLICEClassification">
    <vt:lpwstr>NOT PROTECTIVELY MARKED</vt:lpwstr>
  </property>
  <property fmtid="{D5CDD505-2E9C-101B-9397-08002B2CF9AE}" pid="4" name="NORTH YORKSHIRE POLICEVisual Markings">
    <vt:lpwstr>Yes</vt:lpwstr>
  </property>
</Properties>
</file>